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4800" windowHeight="4740" tabRatio="864" activeTab="0"/>
  </bookViews>
  <sheets>
    <sheet name="START" sheetId="1" r:id="rId1"/>
    <sheet name="SCHEMAT" sheetId="2" r:id="rId2"/>
    <sheet name="PROJEKT" sheetId="3" r:id="rId3"/>
    <sheet name="Mg" sheetId="4" r:id="rId4"/>
    <sheet name="Mgx" sheetId="5" r:id="rId5"/>
    <sheet name="Ms" sheetId="6" r:id="rId6"/>
    <sheet name="Mgy" sheetId="7" r:id="rId7"/>
    <sheet name="Mz" sheetId="8" r:id="rId8"/>
    <sheet name="d" sheetId="9" r:id="rId9"/>
  </sheets>
  <definedNames>
    <definedName name="_Regression_Int" localSheetId="2" hidden="1">1</definedName>
  </definedNames>
  <calcPr fullCalcOnLoad="1"/>
</workbook>
</file>

<file path=xl/sharedStrings.xml><?xml version="1.0" encoding="utf-8"?>
<sst xmlns="http://schemas.openxmlformats.org/spreadsheetml/2006/main" count="228" uniqueCount="189">
  <si>
    <t xml:space="preserve">    d1</t>
  </si>
  <si>
    <t>d3</t>
  </si>
  <si>
    <t xml:space="preserve">   d2</t>
  </si>
  <si>
    <t xml:space="preserve">     F2</t>
  </si>
  <si>
    <t xml:space="preserve">     F1</t>
  </si>
  <si>
    <t xml:space="preserve">      A</t>
  </si>
  <si>
    <t xml:space="preserve">     B</t>
  </si>
  <si>
    <t xml:space="preserve">   F3</t>
  </si>
  <si>
    <t xml:space="preserve">  a1</t>
  </si>
  <si>
    <t xml:space="preserve">a2    </t>
  </si>
  <si>
    <t>a3</t>
  </si>
  <si>
    <t>a4</t>
  </si>
  <si>
    <t>OBLICZENIA WAŁU</t>
  </si>
  <si>
    <t>DANE</t>
  </si>
  <si>
    <t>TOK OBLICZEN</t>
  </si>
  <si>
    <t xml:space="preserve">               WYNIKI</t>
  </si>
  <si>
    <t xml:space="preserve">   X</t>
  </si>
  <si>
    <t>Mgx</t>
  </si>
  <si>
    <t>Mgy</t>
  </si>
  <si>
    <t>Mg</t>
  </si>
  <si>
    <t>Ms</t>
  </si>
  <si>
    <t>Mz</t>
  </si>
  <si>
    <t>d</t>
  </si>
  <si>
    <t>Moc</t>
  </si>
  <si>
    <t>a</t>
  </si>
  <si>
    <t>P1=[kW]</t>
  </si>
  <si>
    <t xml:space="preserve">                                                           WYKRESY</t>
  </si>
  <si>
    <r>
      <t>Obliczenia</t>
    </r>
    <r>
      <rPr>
        <b/>
        <sz val="12"/>
        <color indexed="16"/>
        <rFont val="Arial CE"/>
        <family val="2"/>
      </rPr>
      <t xml:space="preserve"> </t>
    </r>
    <r>
      <rPr>
        <b/>
        <sz val="18"/>
        <color indexed="16"/>
        <rFont val="Arial CE"/>
        <family val="2"/>
      </rPr>
      <t>wytrzymałosciowe:</t>
    </r>
  </si>
  <si>
    <t>P3=[kW]</t>
  </si>
  <si>
    <t xml:space="preserve">                  WYKRES MOMENTOW GNACYCH W PLASZCZYZNIE X i Y          </t>
  </si>
  <si>
    <t>1.Obliczenia wstepne:</t>
  </si>
  <si>
    <t xml:space="preserve">Obroty </t>
  </si>
  <si>
    <t>a)obliczenie mocy na kole 2:</t>
  </si>
  <si>
    <t>n=[obr/min]</t>
  </si>
  <si>
    <t>P2=P1-P3</t>
  </si>
  <si>
    <t>P2=</t>
  </si>
  <si>
    <t>kW</t>
  </si>
  <si>
    <t>Srednice kol</t>
  </si>
  <si>
    <t>b)momenty obrotowe na kołach 1,2,3:</t>
  </si>
  <si>
    <t>d1=[m]</t>
  </si>
  <si>
    <t>Mi=9554*Pi[kW]/n[obr./min.]</t>
  </si>
  <si>
    <t>M1=9554*P1/n</t>
  </si>
  <si>
    <t>M1=</t>
  </si>
  <si>
    <t>Nm</t>
  </si>
  <si>
    <t>A</t>
  </si>
  <si>
    <t>d2=[m]</t>
  </si>
  <si>
    <t>M2=9554*P2/n</t>
  </si>
  <si>
    <t>M2=</t>
  </si>
  <si>
    <t>M3=9554*P3/n</t>
  </si>
  <si>
    <t>M3=</t>
  </si>
  <si>
    <t>d3=[m]</t>
  </si>
  <si>
    <t xml:space="preserve">          WYKRES ZASTEPCZEGO MOMENTU GNACEGO I MOMENTU SKRECAJACEGO </t>
  </si>
  <si>
    <t>Dlugosci</t>
  </si>
  <si>
    <t>c)sily obwodowe:</t>
  </si>
  <si>
    <t>g</t>
  </si>
  <si>
    <t>a1=[m]</t>
  </si>
  <si>
    <t>Mi=Fi*d1/2</t>
  </si>
  <si>
    <t>Fi=2Mi/di</t>
  </si>
  <si>
    <t>a2=[m]</t>
  </si>
  <si>
    <t>F1=2M1/d1</t>
  </si>
  <si>
    <t>F1=</t>
  </si>
  <si>
    <t>N</t>
  </si>
  <si>
    <t>F2=2M2/d2</t>
  </si>
  <si>
    <t>F2=</t>
  </si>
  <si>
    <t>a3=[m]</t>
  </si>
  <si>
    <t>F3=2M3/d3</t>
  </si>
  <si>
    <t>F3=</t>
  </si>
  <si>
    <t xml:space="preserve"> i</t>
  </si>
  <si>
    <t>l=[m]</t>
  </si>
  <si>
    <t>d)redukcja sił obwodowych do osi wału:</t>
  </si>
  <si>
    <t>rad z L=</t>
  </si>
  <si>
    <t>rad</t>
  </si>
  <si>
    <t>Kat L</t>
  </si>
  <si>
    <t>sinL</t>
  </si>
  <si>
    <t>sinL=</t>
  </si>
  <si>
    <t>cosL</t>
  </si>
  <si>
    <t>cosL=</t>
  </si>
  <si>
    <t xml:space="preserve">                              WYKRES MOMENTU ZASTEPCZEGO I SREDNIC</t>
  </si>
  <si>
    <t>Dla stali 45</t>
  </si>
  <si>
    <t>F1x=F1*sinL</t>
  </si>
  <si>
    <t>F1x=</t>
  </si>
  <si>
    <t>kgo=[MPa]</t>
  </si>
  <si>
    <t>F1y=F1*cosL</t>
  </si>
  <si>
    <t>F1y=</t>
  </si>
  <si>
    <t>ksj=[MPa]</t>
  </si>
  <si>
    <t>2.Obliczenie reakcji:</t>
  </si>
  <si>
    <t>a4=l-(a1+a2+a3)</t>
  </si>
  <si>
    <t>a4=</t>
  </si>
  <si>
    <t>m</t>
  </si>
  <si>
    <t>Pl. X</t>
  </si>
  <si>
    <t>EMAx=0</t>
  </si>
  <si>
    <t>F1x*a1+F2*a2+XB*(a2+a3+a4)=0</t>
  </si>
  <si>
    <t>XB=(-F1x*a1-F2*a2)/(a1+a2+a3)</t>
  </si>
  <si>
    <t>XB=</t>
  </si>
  <si>
    <t>EFiy=0</t>
  </si>
  <si>
    <t>=-F1x+XA+F2+XB=0</t>
  </si>
  <si>
    <t>XA=F1x-F2-XB</t>
  </si>
  <si>
    <t>XA=</t>
  </si>
  <si>
    <t>B</t>
  </si>
  <si>
    <t>PL. Y</t>
  </si>
  <si>
    <t>EMAy=0</t>
  </si>
  <si>
    <t>F1y*a1-F3*(a2+a3)+YB*(a2+a3+a4)=0</t>
  </si>
  <si>
    <t>YB=(-F1y*a1+F3*(a2+a3))/(a2+a3+a4)</t>
  </si>
  <si>
    <t>YB=</t>
  </si>
  <si>
    <t xml:space="preserve"> -F1y+YA-F3+YB=0</t>
  </si>
  <si>
    <t>YA=F1y+F3-YB</t>
  </si>
  <si>
    <t>YA=</t>
  </si>
  <si>
    <r>
      <t xml:space="preserve"> </t>
    </r>
    <r>
      <rPr>
        <b/>
        <sz val="16"/>
        <color indexed="10"/>
        <rFont val="Arial CE"/>
        <family val="2"/>
      </rPr>
      <t>3.Momenty gnace:</t>
    </r>
  </si>
  <si>
    <t>Wyniki w tabelce</t>
  </si>
  <si>
    <t>MgxI=-F1x*x1</t>
  </si>
  <si>
    <t xml:space="preserve"> 0&lt;x1&lt;a1</t>
  </si>
  <si>
    <t>MgxII=-F1x*x2+XA*(x2-a1)</t>
  </si>
  <si>
    <t>a1&lt;x2&lt;a1+a2</t>
  </si>
  <si>
    <t>MgxIII=-F1x*x3+XA*(x3-a1)+F2*(x3-(a1+a2))</t>
  </si>
  <si>
    <t>a1+a2&lt;x3&lt;l</t>
  </si>
  <si>
    <t>Pl. Y</t>
  </si>
  <si>
    <t>MgyI=-F1y*x1</t>
  </si>
  <si>
    <t xml:space="preserve"> 0&lt;x1&lt;a1  </t>
  </si>
  <si>
    <t>MgyII=-F1y*x2+YA*(x2-a1)</t>
  </si>
  <si>
    <t>MgyIII=-F1y*x3+YA*(x3-a1)-F3*(x3-(a1+a2+a3))</t>
  </si>
  <si>
    <t xml:space="preserve"> a1+a2+a3&lt;x3&lt;l</t>
  </si>
  <si>
    <r>
      <t xml:space="preserve"> </t>
    </r>
    <r>
      <rPr>
        <b/>
        <sz val="16"/>
        <color indexed="10"/>
        <rFont val="Arial CE"/>
        <family val="0"/>
      </rPr>
      <t>4.Zastempczy moment gnacy:</t>
    </r>
  </si>
  <si>
    <t>Mgi= (Mgxi^2+Mgyi^2)^0.5</t>
  </si>
  <si>
    <t xml:space="preserve"> 5.Moment zastepczy:</t>
  </si>
  <si>
    <t>Mzi= (Mgi^2+(B*Msi)^2)^0.5</t>
  </si>
  <si>
    <t>B=1/2*kgo/ksj</t>
  </si>
  <si>
    <t>B=</t>
  </si>
  <si>
    <t>6.Średnice wału:</t>
  </si>
  <si>
    <t/>
  </si>
  <si>
    <t>di&gt; (10 Mzi[Nm]/ kgo[Pa])^1/3      [m]</t>
  </si>
  <si>
    <r>
      <t>Dobór</t>
    </r>
    <r>
      <rPr>
        <b/>
        <sz val="12"/>
        <color indexed="16"/>
        <rFont val="Arial CE"/>
        <family val="2"/>
      </rPr>
      <t xml:space="preserve"> </t>
    </r>
    <r>
      <rPr>
        <b/>
        <sz val="18"/>
        <color indexed="16"/>
        <rFont val="Arial CE"/>
        <family val="2"/>
      </rPr>
      <t>łożysk</t>
    </r>
  </si>
  <si>
    <t>Lata</t>
  </si>
  <si>
    <t xml:space="preserve">RA= (XA^2+YA^2)^0.5 </t>
  </si>
  <si>
    <t>RA=</t>
  </si>
  <si>
    <t>Liczba zmian</t>
  </si>
  <si>
    <t>RB= (XB^2+YB^2)^0.5</t>
  </si>
  <si>
    <t>RB=</t>
  </si>
  <si>
    <t>C= (Ri^3*n*Lh/16660)^1/3  [N]</t>
  </si>
  <si>
    <t>CA=</t>
  </si>
  <si>
    <t>CB=</t>
  </si>
  <si>
    <t>Lh=lata*2000*liczba zmian w dniu  [h]</t>
  </si>
  <si>
    <t>Lh=</t>
  </si>
  <si>
    <t>h</t>
  </si>
  <si>
    <t>Srednice:</t>
  </si>
  <si>
    <t>dA&gt;[m]</t>
  </si>
  <si>
    <t>Srednice dA i dB walu dobieramy z tablic</t>
  </si>
  <si>
    <t>Nr lozyska A   6206</t>
  </si>
  <si>
    <t>dA=</t>
  </si>
  <si>
    <t>mm</t>
  </si>
  <si>
    <t>dB&gt;[m]</t>
  </si>
  <si>
    <t>Nr lozyska B   6004</t>
  </si>
  <si>
    <t>dB=</t>
  </si>
  <si>
    <t>.Polaczenia w punkcie a,g,i:</t>
  </si>
  <si>
    <t>Wpisac:</t>
  </si>
  <si>
    <r>
      <t>Obliczanie</t>
    </r>
    <r>
      <rPr>
        <b/>
        <sz val="12"/>
        <color indexed="16"/>
        <rFont val="Arial CE"/>
        <family val="2"/>
      </rPr>
      <t xml:space="preserve"> </t>
    </r>
    <r>
      <rPr>
        <b/>
        <sz val="18"/>
        <color indexed="16"/>
        <rFont val="Arial CE"/>
        <family val="2"/>
      </rPr>
      <t>dlugosci</t>
    </r>
    <r>
      <rPr>
        <b/>
        <sz val="12"/>
        <color indexed="16"/>
        <rFont val="Arial CE"/>
        <family val="2"/>
      </rPr>
      <t xml:space="preserve"> </t>
    </r>
    <r>
      <rPr>
        <b/>
        <sz val="18"/>
        <color indexed="16"/>
        <rFont val="Arial CE"/>
        <family val="2"/>
      </rPr>
      <t>wpustow:</t>
    </r>
  </si>
  <si>
    <t>da=</t>
  </si>
  <si>
    <t>da&gt;[m]</t>
  </si>
  <si>
    <t>dg=</t>
  </si>
  <si>
    <t>loo&gt; 4*Mi/ do*z*koj*h</t>
  </si>
  <si>
    <t>di=</t>
  </si>
  <si>
    <t>dg&gt;[m]</t>
  </si>
  <si>
    <t>loa&gt;</t>
  </si>
  <si>
    <t>do- dobieramy wedlug wykresu (da,dg,di)</t>
  </si>
  <si>
    <t>log&gt;</t>
  </si>
  <si>
    <t>di&gt;[m]</t>
  </si>
  <si>
    <t>koj- dobieramy najmniejsze wartosci z tsblic</t>
  </si>
  <si>
    <t>loi&gt;</t>
  </si>
  <si>
    <t>h-dobieramy z tablic dla   do</t>
  </si>
  <si>
    <t>Naprezenia:</t>
  </si>
  <si>
    <t>z-ilosc wpustow</t>
  </si>
  <si>
    <t>ko=[MPa]</t>
  </si>
  <si>
    <t>lo&gt; loo+b</t>
  </si>
  <si>
    <t>Wysokosc</t>
  </si>
  <si>
    <t>la&gt;</t>
  </si>
  <si>
    <t>wpustu:</t>
  </si>
  <si>
    <t>b-dobieramy z tablic dla   do</t>
  </si>
  <si>
    <t>lg&gt;</t>
  </si>
  <si>
    <t>ha=[m]</t>
  </si>
  <si>
    <t>li&gt;</t>
  </si>
  <si>
    <t>hg=[m]</t>
  </si>
  <si>
    <t>hi=[m]</t>
  </si>
  <si>
    <t>Grubosc</t>
  </si>
  <si>
    <t>ba=[m]</t>
  </si>
  <si>
    <t>bg=[m]</t>
  </si>
  <si>
    <t>bi=[m]</t>
  </si>
  <si>
    <t>LIczba</t>
  </si>
  <si>
    <t>wpustow:</t>
  </si>
  <si>
    <t>z=</t>
  </si>
  <si>
    <t>z'=</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</si>
</sst>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General_)"/>
    <numFmt numFmtId="165" formatCode="#.##0\.00"/>
    <numFmt numFmtId="166" formatCode="\$#\.00"/>
    <numFmt numFmtId="167" formatCode="#\.00"/>
    <numFmt numFmtId="168" formatCode="%#\.00"/>
    <numFmt numFmtId="169" formatCode="#\."/>
    <numFmt numFmtId="170" formatCode="m\o\n\t\h\ d\,\ \y\y\y\y"/>
  </numFmts>
  <fonts count="40">
    <font>
      <sz val="12"/>
      <name val="Courier"/>
      <family val="0"/>
    </font>
    <font>
      <b/>
      <sz val="10"/>
      <name val="Arial CE"/>
      <family val="0"/>
    </font>
    <font>
      <i/>
      <sz val="10"/>
      <name val="Arial CE"/>
      <family val="0"/>
    </font>
    <font>
      <b/>
      <i/>
      <sz val="10"/>
      <name val="Arial CE"/>
      <family val="0"/>
    </font>
    <font>
      <sz val="10"/>
      <name val="Arial CE"/>
      <family val="0"/>
    </font>
    <font>
      <sz val="12"/>
      <color indexed="8"/>
      <name val="Courier"/>
      <family val="0"/>
    </font>
    <font>
      <b/>
      <sz val="12"/>
      <color indexed="8"/>
      <name val="Courier"/>
      <family val="0"/>
    </font>
    <font>
      <u val="single"/>
      <sz val="16"/>
      <color indexed="8"/>
      <name val="Courier"/>
      <family val="0"/>
    </font>
    <font>
      <sz val="20"/>
      <color indexed="8"/>
      <name val="Courier"/>
      <family val="0"/>
    </font>
    <font>
      <sz val="36"/>
      <color indexed="8"/>
      <name val="Courier"/>
      <family val="0"/>
    </font>
    <font>
      <b/>
      <u val="single"/>
      <sz val="20"/>
      <color indexed="8"/>
      <name val="Arial CE"/>
      <family val="0"/>
    </font>
    <font>
      <b/>
      <sz val="12"/>
      <name val="Arial CE"/>
      <family val="0"/>
    </font>
    <font>
      <b/>
      <sz val="16"/>
      <color indexed="8"/>
      <name val="Arial CE"/>
      <family val="0"/>
    </font>
    <font>
      <b/>
      <u val="single"/>
      <sz val="18"/>
      <color indexed="8"/>
      <name val="Arial CE"/>
      <family val="2"/>
    </font>
    <font>
      <sz val="16"/>
      <color indexed="8"/>
      <name val="Arial CE"/>
      <family val="0"/>
    </font>
    <font>
      <b/>
      <sz val="12"/>
      <color indexed="8"/>
      <name val="Arial CE"/>
      <family val="0"/>
    </font>
    <font>
      <b/>
      <sz val="12"/>
      <color indexed="56"/>
      <name val="Arial CE"/>
      <family val="2"/>
    </font>
    <font>
      <b/>
      <sz val="18"/>
      <color indexed="8"/>
      <name val="Arial CE"/>
      <family val="2"/>
    </font>
    <font>
      <b/>
      <sz val="18"/>
      <name val="Arial CE"/>
      <family val="2"/>
    </font>
    <font>
      <sz val="12"/>
      <name val="Arial CE"/>
      <family val="2"/>
    </font>
    <font>
      <b/>
      <sz val="14"/>
      <name val="Arial CE"/>
      <family val="2"/>
    </font>
    <font>
      <sz val="28"/>
      <name val="Times New Roman CE"/>
      <family val="1"/>
    </font>
    <font>
      <b/>
      <sz val="12"/>
      <name val="Courier"/>
      <family val="0"/>
    </font>
    <font>
      <b/>
      <sz val="12"/>
      <name val="Courier New CE"/>
      <family val="3"/>
    </font>
    <font>
      <sz val="12"/>
      <name val="Courier New CE"/>
      <family val="3"/>
    </font>
    <font>
      <b/>
      <sz val="14"/>
      <name val="Times New Roman CE"/>
      <family val="0"/>
    </font>
    <font>
      <b/>
      <sz val="28"/>
      <name val="Times New Roman CE"/>
      <family val="1"/>
    </font>
    <font>
      <b/>
      <sz val="28"/>
      <name val="Arial CE"/>
      <family val="2"/>
    </font>
    <font>
      <b/>
      <sz val="36"/>
      <name val="Times New Roman CE"/>
      <family val="1"/>
    </font>
    <font>
      <b/>
      <sz val="22"/>
      <name val="Courier New CE"/>
      <family val="3"/>
    </font>
    <font>
      <b/>
      <sz val="16"/>
      <color indexed="10"/>
      <name val="Arial CE"/>
      <family val="2"/>
    </font>
    <font>
      <sz val="14"/>
      <color indexed="8"/>
      <name val="Arial CE"/>
      <family val="2"/>
    </font>
    <font>
      <b/>
      <u val="single"/>
      <sz val="12"/>
      <color indexed="8"/>
      <name val="Arial CE"/>
      <family val="2"/>
    </font>
    <font>
      <b/>
      <sz val="18"/>
      <color indexed="16"/>
      <name val="Arial CE"/>
      <family val="2"/>
    </font>
    <font>
      <b/>
      <sz val="12"/>
      <color indexed="16"/>
      <name val="Arial CE"/>
      <family val="2"/>
    </font>
    <font>
      <sz val="12"/>
      <color indexed="8"/>
      <name val="Arial CE"/>
      <family val="0"/>
    </font>
    <font>
      <b/>
      <sz val="48"/>
      <color indexed="10"/>
      <name val="Arial CE"/>
      <family val="2"/>
    </font>
    <font>
      <b/>
      <sz val="22"/>
      <color indexed="10"/>
      <name val="Courier New CE"/>
      <family val="3"/>
    </font>
    <font>
      <b/>
      <sz val="12"/>
      <color indexed="10"/>
      <name val="Arial CE"/>
      <family val="2"/>
    </font>
    <font>
      <b/>
      <sz val="22"/>
      <name val="Arial CE"/>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5"/>
        <bgColor indexed="64"/>
      </patternFill>
    </fill>
    <fill>
      <patternFill patternType="solid">
        <fgColor indexed="43"/>
        <bgColor indexed="64"/>
      </patternFill>
    </fill>
  </fills>
  <borders count="15">
    <border>
      <left/>
      <right/>
      <top/>
      <bottom/>
      <diagonal/>
    </border>
    <border>
      <left>
        <color indexed="63"/>
      </left>
      <right>
        <color indexed="63"/>
      </right>
      <top style="thin"/>
      <bottom style="double"/>
    </border>
    <border>
      <left style="thick"/>
      <right>
        <color indexed="63"/>
      </right>
      <top>
        <color indexed="63"/>
      </top>
      <bottom>
        <color indexed="63"/>
      </bottom>
    </border>
    <border>
      <left style="double"/>
      <right>
        <color indexed="63"/>
      </right>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color indexed="63"/>
      </right>
      <top style="thick"/>
      <bottom style="medium"/>
    </border>
    <border>
      <left style="medium"/>
      <right style="thin"/>
      <top style="medium"/>
      <bottom style="medium"/>
    </border>
    <border>
      <left style="double"/>
      <right>
        <color indexed="63"/>
      </right>
      <top style="double"/>
      <bottom>
        <color indexed="63"/>
      </bottom>
    </border>
    <border>
      <left style="thick"/>
      <right>
        <color indexed="63"/>
      </right>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style="thick"/>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5" fillId="0" borderId="0">
      <alignment/>
      <protection locked="0"/>
    </xf>
    <xf numFmtId="166" fontId="5" fillId="0" borderId="0">
      <alignment/>
      <protection locked="0"/>
    </xf>
    <xf numFmtId="170" fontId="5" fillId="0" borderId="0">
      <alignment/>
      <protection locked="0"/>
    </xf>
    <xf numFmtId="43" fontId="4" fillId="0" borderId="0" applyFont="0" applyFill="0" applyBorder="0" applyAlignment="0" applyProtection="0"/>
    <xf numFmtId="41" fontId="4" fillId="0" borderId="0" applyFont="0" applyFill="0" applyBorder="0" applyAlignment="0" applyProtection="0"/>
    <xf numFmtId="167" fontId="5" fillId="0" borderId="0">
      <alignment/>
      <protection locked="0"/>
    </xf>
    <xf numFmtId="169" fontId="6" fillId="0" borderId="0">
      <alignment/>
      <protection locked="0"/>
    </xf>
    <xf numFmtId="169" fontId="6" fillId="0" borderId="0">
      <alignment/>
      <protection locked="0"/>
    </xf>
    <xf numFmtId="168" fontId="5" fillId="0" borderId="0">
      <alignment/>
      <protection locked="0"/>
    </xf>
    <xf numFmtId="9" fontId="4" fillId="0" borderId="0" applyFont="0" applyFill="0" applyBorder="0" applyAlignment="0" applyProtection="0"/>
    <xf numFmtId="169" fontId="5" fillId="0" borderId="1">
      <alignment/>
      <protection locked="0"/>
    </xf>
    <xf numFmtId="44" fontId="4" fillId="0" borderId="0" applyFont="0" applyFill="0" applyBorder="0" applyAlignment="0" applyProtection="0"/>
    <xf numFmtId="42" fontId="4" fillId="0" borderId="0" applyFont="0" applyFill="0" applyBorder="0" applyAlignment="0" applyProtection="0"/>
  </cellStyleXfs>
  <cellXfs count="80">
    <xf numFmtId="164" fontId="0" fillId="0" borderId="0" xfId="0" applyAlignment="1">
      <alignment/>
    </xf>
    <xf numFmtId="164" fontId="0" fillId="2" borderId="0" xfId="0" applyFill="1" applyAlignment="1">
      <alignment/>
    </xf>
    <xf numFmtId="164" fontId="10" fillId="2" borderId="0" xfId="0" applyFont="1" applyFill="1" applyAlignment="1" applyProtection="1">
      <alignment horizontal="center"/>
      <protection/>
    </xf>
    <xf numFmtId="164" fontId="8" fillId="2" borderId="0" xfId="0" applyFont="1" applyFill="1" applyAlignment="1" applyProtection="1">
      <alignment/>
      <protection/>
    </xf>
    <xf numFmtId="164" fontId="8" fillId="2" borderId="0" xfId="0" applyFont="1" applyFill="1" applyAlignment="1">
      <alignment/>
    </xf>
    <xf numFmtId="164" fontId="7" fillId="2" borderId="0" xfId="0" applyFont="1" applyFill="1" applyAlignment="1">
      <alignment/>
    </xf>
    <xf numFmtId="164" fontId="13" fillId="2" borderId="0" xfId="0" applyFont="1" applyFill="1" applyAlignment="1" applyProtection="1">
      <alignment/>
      <protection/>
    </xf>
    <xf numFmtId="164" fontId="11" fillId="2" borderId="0" xfId="0" applyFont="1" applyFill="1" applyAlignment="1">
      <alignment/>
    </xf>
    <xf numFmtId="164" fontId="12" fillId="2" borderId="0" xfId="0" applyFont="1" applyFill="1" applyAlignment="1" applyProtection="1">
      <alignment/>
      <protection/>
    </xf>
    <xf numFmtId="164" fontId="12" fillId="2" borderId="0" xfId="0" applyFont="1" applyFill="1" applyAlignment="1">
      <alignment/>
    </xf>
    <xf numFmtId="164" fontId="14" fillId="2" borderId="0" xfId="0" applyFont="1" applyFill="1" applyAlignment="1" applyProtection="1">
      <alignment/>
      <protection/>
    </xf>
    <xf numFmtId="164" fontId="5" fillId="2" borderId="2" xfId="0" applyFont="1" applyFill="1" applyBorder="1" applyAlignment="1">
      <alignment/>
    </xf>
    <xf numFmtId="164" fontId="5" fillId="2" borderId="3" xfId="0" applyFont="1" applyFill="1" applyBorder="1" applyAlignment="1">
      <alignment/>
    </xf>
    <xf numFmtId="164" fontId="0" fillId="2" borderId="0" xfId="0" applyFill="1" applyAlignment="1" applyProtection="1">
      <alignment horizontal="left"/>
      <protection/>
    </xf>
    <xf numFmtId="164" fontId="5" fillId="2" borderId="4" xfId="0" applyFont="1" applyFill="1" applyBorder="1" applyAlignment="1">
      <alignment/>
    </xf>
    <xf numFmtId="164" fontId="6" fillId="2" borderId="0" xfId="0" applyFont="1" applyFill="1" applyAlignment="1" applyProtection="1">
      <alignment/>
      <protection/>
    </xf>
    <xf numFmtId="164" fontId="6" fillId="2" borderId="0" xfId="0" applyFont="1" applyFill="1" applyAlignment="1">
      <alignment/>
    </xf>
    <xf numFmtId="164" fontId="15" fillId="2" borderId="3" xfId="0" applyFont="1" applyFill="1" applyBorder="1" applyAlignment="1">
      <alignment horizontal="center"/>
    </xf>
    <xf numFmtId="164" fontId="11" fillId="2" borderId="0" xfId="0" applyFont="1" applyFill="1" applyAlignment="1">
      <alignment horizontal="center"/>
    </xf>
    <xf numFmtId="164" fontId="12" fillId="3" borderId="5" xfId="0" applyFont="1" applyFill="1" applyBorder="1" applyAlignment="1" applyProtection="1">
      <alignment horizontal="center"/>
      <protection/>
    </xf>
    <xf numFmtId="164" fontId="11" fillId="3" borderId="0" xfId="0" applyFont="1" applyFill="1" applyAlignment="1">
      <alignment horizontal="center"/>
    </xf>
    <xf numFmtId="164" fontId="15" fillId="2" borderId="0" xfId="0" applyFont="1" applyFill="1" applyBorder="1" applyAlignment="1">
      <alignment horizontal="center"/>
    </xf>
    <xf numFmtId="164" fontId="0" fillId="2" borderId="0" xfId="0" applyFill="1" applyBorder="1" applyAlignment="1">
      <alignment/>
    </xf>
    <xf numFmtId="164" fontId="12" fillId="3" borderId="6" xfId="0" applyFont="1" applyFill="1" applyBorder="1" applyAlignment="1">
      <alignment horizontal="center"/>
    </xf>
    <xf numFmtId="164" fontId="12" fillId="3" borderId="7" xfId="0" applyFont="1" applyFill="1" applyBorder="1" applyAlignment="1">
      <alignment horizontal="center"/>
    </xf>
    <xf numFmtId="164" fontId="16" fillId="2" borderId="8" xfId="0" applyFont="1" applyFill="1" applyBorder="1" applyAlignment="1" applyProtection="1">
      <alignment horizontal="center"/>
      <protection/>
    </xf>
    <xf numFmtId="164" fontId="16" fillId="2" borderId="8" xfId="0" applyFont="1" applyFill="1" applyBorder="1" applyAlignment="1">
      <alignment horizontal="center"/>
    </xf>
    <xf numFmtId="164" fontId="16" fillId="2" borderId="3" xfId="0" applyFont="1" applyFill="1" applyBorder="1" applyAlignment="1">
      <alignment horizontal="center"/>
    </xf>
    <xf numFmtId="164" fontId="16" fillId="2" borderId="9" xfId="0" applyFont="1" applyFill="1" applyBorder="1" applyAlignment="1">
      <alignment horizontal="center"/>
    </xf>
    <xf numFmtId="164" fontId="16" fillId="2" borderId="10" xfId="0" applyFont="1" applyFill="1" applyBorder="1" applyAlignment="1">
      <alignment horizontal="center"/>
    </xf>
    <xf numFmtId="164" fontId="16" fillId="2" borderId="0" xfId="0" applyFont="1" applyFill="1" applyAlignment="1">
      <alignment horizontal="center"/>
    </xf>
    <xf numFmtId="164" fontId="16" fillId="3" borderId="0" xfId="0" applyFont="1" applyFill="1" applyAlignment="1" applyProtection="1">
      <alignment horizontal="center"/>
      <protection/>
    </xf>
    <xf numFmtId="164" fontId="16" fillId="2" borderId="0" xfId="0" applyFont="1" applyFill="1" applyAlignment="1" applyProtection="1">
      <alignment horizontal="center"/>
      <protection/>
    </xf>
    <xf numFmtId="164" fontId="17" fillId="3" borderId="5" xfId="0" applyFont="1" applyFill="1" applyBorder="1" applyAlignment="1" applyProtection="1">
      <alignment horizontal="center"/>
      <protection/>
    </xf>
    <xf numFmtId="164" fontId="0" fillId="3" borderId="0" xfId="0" applyFill="1" applyAlignment="1">
      <alignment/>
    </xf>
    <xf numFmtId="164" fontId="9" fillId="3" borderId="0" xfId="0" applyFont="1" applyFill="1" applyAlignment="1">
      <alignment/>
    </xf>
    <xf numFmtId="164" fontId="15" fillId="2" borderId="0" xfId="0" applyFont="1" applyFill="1" applyAlignment="1" applyProtection="1">
      <alignment horizontal="center"/>
      <protection/>
    </xf>
    <xf numFmtId="164" fontId="15" fillId="2" borderId="0" xfId="0" applyFont="1" applyFill="1" applyAlignment="1">
      <alignment horizontal="center"/>
    </xf>
    <xf numFmtId="164" fontId="19" fillId="2" borderId="0" xfId="0" applyFont="1" applyFill="1" applyAlignment="1">
      <alignment/>
    </xf>
    <xf numFmtId="164" fontId="17" fillId="3" borderId="5" xfId="0" applyFont="1" applyFill="1" applyBorder="1" applyAlignment="1" applyProtection="1" quotePrefix="1">
      <alignment horizontal="center"/>
      <protection/>
    </xf>
    <xf numFmtId="164" fontId="16" fillId="2" borderId="8" xfId="0" applyFont="1" applyFill="1" applyBorder="1" applyAlignment="1" applyProtection="1" quotePrefix="1">
      <alignment horizontal="center"/>
      <protection/>
    </xf>
    <xf numFmtId="164" fontId="30" fillId="4" borderId="2" xfId="0" applyFont="1" applyFill="1" applyBorder="1" applyAlignment="1" applyProtection="1" quotePrefix="1">
      <alignment horizontal="left"/>
      <protection/>
    </xf>
    <xf numFmtId="164" fontId="15" fillId="4" borderId="5" xfId="0" applyFont="1" applyFill="1" applyBorder="1" applyAlignment="1" applyProtection="1">
      <alignment/>
      <protection/>
    </xf>
    <xf numFmtId="164" fontId="15" fillId="4" borderId="5" xfId="0" applyFont="1" applyFill="1" applyBorder="1" applyAlignment="1">
      <alignment/>
    </xf>
    <xf numFmtId="164" fontId="15" fillId="4" borderId="4" xfId="0" applyFont="1" applyFill="1" applyBorder="1" applyAlignment="1">
      <alignment/>
    </xf>
    <xf numFmtId="164" fontId="15" fillId="4" borderId="2" xfId="0" applyFont="1" applyFill="1" applyBorder="1" applyAlignment="1" applyProtection="1">
      <alignment/>
      <protection/>
    </xf>
    <xf numFmtId="164" fontId="15" fillId="4" borderId="2" xfId="0" applyFont="1" applyFill="1" applyBorder="1" applyAlignment="1">
      <alignment/>
    </xf>
    <xf numFmtId="164" fontId="15" fillId="4" borderId="0" xfId="0" applyFont="1" applyFill="1" applyAlignment="1">
      <alignment/>
    </xf>
    <xf numFmtId="164" fontId="15" fillId="4" borderId="2" xfId="0" applyFont="1" applyFill="1" applyBorder="1" applyAlignment="1" applyProtection="1">
      <alignment/>
      <protection/>
    </xf>
    <xf numFmtId="164" fontId="15" fillId="4" borderId="0" xfId="0" applyFont="1" applyFill="1" applyAlignment="1" applyProtection="1">
      <alignment/>
      <protection/>
    </xf>
    <xf numFmtId="164" fontId="15" fillId="4" borderId="0" xfId="0" applyFont="1" applyFill="1" applyAlignment="1" applyProtection="1">
      <alignment horizontal="left"/>
      <protection/>
    </xf>
    <xf numFmtId="164" fontId="15" fillId="4" borderId="2" xfId="0" applyFont="1" applyFill="1" applyBorder="1" applyAlignment="1" applyProtection="1" quotePrefix="1">
      <alignment horizontal="left"/>
      <protection/>
    </xf>
    <xf numFmtId="164" fontId="32" fillId="4" borderId="2" xfId="0" applyFont="1" applyFill="1" applyBorder="1" applyAlignment="1" applyProtection="1">
      <alignment/>
      <protection/>
    </xf>
    <xf numFmtId="164" fontId="32" fillId="4" borderId="0" xfId="0" applyFont="1" applyFill="1" applyAlignment="1">
      <alignment/>
    </xf>
    <xf numFmtId="164" fontId="31" fillId="4" borderId="2" xfId="0" applyFont="1" applyFill="1" applyBorder="1" applyAlignment="1" applyProtection="1">
      <alignment/>
      <protection/>
    </xf>
    <xf numFmtId="164" fontId="32" fillId="4" borderId="9" xfId="0" applyFont="1" applyFill="1" applyBorder="1" applyAlignment="1" applyProtection="1">
      <alignment/>
      <protection/>
    </xf>
    <xf numFmtId="164" fontId="32" fillId="4" borderId="10" xfId="0" applyFont="1" applyFill="1" applyBorder="1" applyAlignment="1">
      <alignment/>
    </xf>
    <xf numFmtId="164" fontId="15" fillId="4" borderId="9" xfId="0" applyFont="1" applyFill="1" applyBorder="1" applyAlignment="1" applyProtection="1">
      <alignment/>
      <protection/>
    </xf>
    <xf numFmtId="164" fontId="15" fillId="4" borderId="10" xfId="0" applyFont="1" applyFill="1" applyBorder="1" applyAlignment="1" applyProtection="1">
      <alignment/>
      <protection/>
    </xf>
    <xf numFmtId="164" fontId="15" fillId="4" borderId="10" xfId="0" applyFont="1" applyFill="1" applyBorder="1" applyAlignment="1" applyProtection="1">
      <alignment/>
      <protection/>
    </xf>
    <xf numFmtId="164" fontId="32" fillId="4" borderId="0" xfId="0" applyFont="1" applyFill="1" applyAlignment="1" applyProtection="1">
      <alignment/>
      <protection/>
    </xf>
    <xf numFmtId="164" fontId="15" fillId="4" borderId="9" xfId="0" applyFont="1" applyFill="1" applyBorder="1" applyAlignment="1">
      <alignment/>
    </xf>
    <xf numFmtId="164" fontId="15" fillId="4" borderId="10" xfId="0" applyFont="1" applyFill="1" applyBorder="1" applyAlignment="1">
      <alignment/>
    </xf>
    <xf numFmtId="164" fontId="15" fillId="4" borderId="11" xfId="0" applyFont="1" applyFill="1" applyBorder="1" applyAlignment="1" applyProtection="1">
      <alignment/>
      <protection/>
    </xf>
    <xf numFmtId="164" fontId="15" fillId="4" borderId="12" xfId="0" applyFont="1" applyFill="1" applyBorder="1" applyAlignment="1">
      <alignment/>
    </xf>
    <xf numFmtId="164" fontId="15" fillId="4" borderId="13" xfId="0" applyFont="1" applyFill="1" applyBorder="1" applyAlignment="1">
      <alignment/>
    </xf>
    <xf numFmtId="164" fontId="33" fillId="4" borderId="2" xfId="0" applyFont="1" applyFill="1" applyBorder="1" applyAlignment="1" applyProtection="1" quotePrefix="1">
      <alignment horizontal="left"/>
      <protection/>
    </xf>
    <xf numFmtId="164" fontId="35" fillId="4" borderId="2" xfId="0" applyFont="1" applyFill="1" applyBorder="1" applyAlignment="1" applyProtection="1" quotePrefix="1">
      <alignment horizontal="left"/>
      <protection/>
    </xf>
    <xf numFmtId="164" fontId="30" fillId="4" borderId="2" xfId="0" applyFont="1" applyFill="1" applyBorder="1" applyAlignment="1" applyProtection="1">
      <alignment/>
      <protection/>
    </xf>
    <xf numFmtId="164" fontId="0" fillId="4" borderId="0" xfId="0" applyFill="1" applyAlignment="1">
      <alignment/>
    </xf>
    <xf numFmtId="164" fontId="23" fillId="4" borderId="0" xfId="0" applyFont="1" applyFill="1" applyAlignment="1">
      <alignment/>
    </xf>
    <xf numFmtId="164" fontId="24" fillId="4" borderId="0" xfId="0" applyFont="1" applyFill="1" applyAlignment="1">
      <alignment/>
    </xf>
    <xf numFmtId="164" fontId="22" fillId="4" borderId="0" xfId="0" applyFont="1" applyFill="1" applyAlignment="1">
      <alignment/>
    </xf>
    <xf numFmtId="164" fontId="15" fillId="4" borderId="8" xfId="0" applyFont="1" applyFill="1" applyBorder="1" applyAlignment="1" applyProtection="1">
      <alignment horizontal="center"/>
      <protection/>
    </xf>
    <xf numFmtId="164" fontId="15" fillId="4" borderId="5" xfId="0" applyFont="1" applyFill="1" applyBorder="1" applyAlignment="1" applyProtection="1">
      <alignment horizontal="center"/>
      <protection/>
    </xf>
    <xf numFmtId="164" fontId="15" fillId="4" borderId="14" xfId="0" applyFont="1" applyFill="1" applyBorder="1" applyAlignment="1" applyProtection="1">
      <alignment horizontal="center"/>
      <protection/>
    </xf>
    <xf numFmtId="164" fontId="17" fillId="3" borderId="8" xfId="0" applyFont="1" applyFill="1" applyBorder="1" applyAlignment="1" applyProtection="1">
      <alignment horizontal="center"/>
      <protection/>
    </xf>
    <xf numFmtId="164" fontId="0" fillId="5" borderId="0" xfId="0" applyFill="1" applyAlignment="1">
      <alignment/>
    </xf>
    <xf numFmtId="164" fontId="38" fillId="4" borderId="2" xfId="0" applyFont="1" applyFill="1" applyBorder="1" applyAlignment="1" applyProtection="1">
      <alignment/>
      <protection/>
    </xf>
    <xf numFmtId="164" fontId="36" fillId="3" borderId="0" xfId="0" applyFont="1" applyFill="1" applyAlignment="1" applyProtection="1">
      <alignment horizontal="left"/>
      <protection/>
    </xf>
  </cellXfs>
  <cellStyles count="14">
    <cellStyle name="Normal" xfId="0"/>
    <cellStyle name="Comma" xfId="15"/>
    <cellStyle name="Currency" xfId="16"/>
    <cellStyle name="Date" xfId="17"/>
    <cellStyle name="Comma" xfId="18"/>
    <cellStyle name="Comma [0]" xfId="19"/>
    <cellStyle name="Fixed" xfId="20"/>
    <cellStyle name="Heading1" xfId="21"/>
    <cellStyle name="Heading2" xfId="22"/>
    <cellStyle name="Percent" xfId="23"/>
    <cellStyle name="Percent" xfId="24"/>
    <cellStyle name="Total"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Mz</a:t>
            </a:r>
          </a:p>
        </c:rich>
      </c:tx>
      <c:layout/>
      <c:spPr>
        <a:noFill/>
        <a:ln>
          <a:noFill/>
        </a:ln>
      </c:spPr>
    </c:title>
    <c:plotArea>
      <c:layout>
        <c:manualLayout>
          <c:xMode val="edge"/>
          <c:yMode val="edge"/>
          <c:x val="0.03025"/>
          <c:y val="0.16975"/>
          <c:w val="0.93875"/>
          <c:h val="0.7895"/>
        </c:manualLayout>
      </c:layout>
      <c:areaChart>
        <c:grouping val="stacked"/>
        <c:varyColors val="0"/>
        <c:ser>
          <c:idx val="0"/>
          <c:order val="0"/>
          <c:spPr>
            <a:pattFill prst="pct20">
              <a:fgClr>
                <a:srgbClr val="800000"/>
              </a:fgClr>
              <a:bgClr>
                <a:srgbClr val="C0C0FF"/>
              </a:bgClr>
            </a:pattFill>
            <a:ln w="12700">
              <a:solidFill>
                <a:srgbClr val="0000FF"/>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PROJEKT!$AA$66:$AA$243</c:f>
              <c:numCache/>
            </c:numRef>
          </c:val>
        </c:ser>
        <c:axId val="36645632"/>
        <c:axId val="56090369"/>
      </c:areaChart>
      <c:catAx>
        <c:axId val="36645632"/>
        <c:scaling>
          <c:orientation val="minMax"/>
        </c:scaling>
        <c:axPos val="b"/>
        <c:delete val="0"/>
        <c:numFmt formatCode="General" sourceLinked="1"/>
        <c:majorTickMark val="in"/>
        <c:minorTickMark val="none"/>
        <c:tickLblPos val="low"/>
        <c:crossAx val="56090369"/>
        <c:crosses val="autoZero"/>
        <c:auto val="0"/>
        <c:lblOffset val="100"/>
        <c:tickLblSkip val="26"/>
        <c:noMultiLvlLbl val="0"/>
      </c:catAx>
      <c:valAx>
        <c:axId val="5609036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crossAx val="36645632"/>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Mgy - Moment gnący osi  Y</a:t>
            </a:r>
          </a:p>
        </c:rich>
      </c:tx>
      <c:layout/>
      <c:spPr>
        <a:noFill/>
        <a:ln>
          <a:noFill/>
        </a:ln>
      </c:spPr>
    </c:title>
    <c:plotArea>
      <c:layout>
        <c:manualLayout>
          <c:xMode val="edge"/>
          <c:yMode val="edge"/>
          <c:x val="0.008"/>
          <c:y val="0.14575"/>
          <c:w val="0.98275"/>
          <c:h val="0.836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PROJEKT!$X$66:$X$243</c:f>
              <c:numCache>
                <c:ptCount val="178"/>
                <c:pt idx="0">
                  <c:v>0</c:v>
                </c:pt>
                <c:pt idx="1">
                  <c:v>-1.2738666666666671</c:v>
                </c:pt>
                <c:pt idx="2">
                  <c:v>-2.5477333333333343</c:v>
                </c:pt>
                <c:pt idx="3">
                  <c:v>-3.821600000000001</c:v>
                </c:pt>
                <c:pt idx="4">
                  <c:v>-5.095466666666669</c:v>
                </c:pt>
                <c:pt idx="5">
                  <c:v>-6.369333333333335</c:v>
                </c:pt>
                <c:pt idx="6">
                  <c:v>-7.643200000000002</c:v>
                </c:pt>
                <c:pt idx="7">
                  <c:v>-8.917066666666669</c:v>
                </c:pt>
                <c:pt idx="8">
                  <c:v>-10.190933333333337</c:v>
                </c:pt>
                <c:pt idx="9">
                  <c:v>-11.464800000000004</c:v>
                </c:pt>
                <c:pt idx="10">
                  <c:v>-12.73866666666667</c:v>
                </c:pt>
                <c:pt idx="11">
                  <c:v>-14.012533333333336</c:v>
                </c:pt>
                <c:pt idx="12">
                  <c:v>-15.286400000000004</c:v>
                </c:pt>
                <c:pt idx="13">
                  <c:v>-16.560266666666674</c:v>
                </c:pt>
                <c:pt idx="14">
                  <c:v>-17.834133333333337</c:v>
                </c:pt>
                <c:pt idx="15">
                  <c:v>-19.108000000000004</c:v>
                </c:pt>
                <c:pt idx="16">
                  <c:v>-20.381866666666674</c:v>
                </c:pt>
                <c:pt idx="17">
                  <c:v>-21.65573333333334</c:v>
                </c:pt>
                <c:pt idx="18">
                  <c:v>-22.929600000000008</c:v>
                </c:pt>
                <c:pt idx="19">
                  <c:v>-24.203466666666674</c:v>
                </c:pt>
                <c:pt idx="20">
                  <c:v>-25.47733333333334</c:v>
                </c:pt>
                <c:pt idx="21">
                  <c:v>-26.751200000000008</c:v>
                </c:pt>
                <c:pt idx="22">
                  <c:v>-28.02506666666667</c:v>
                </c:pt>
                <c:pt idx="23">
                  <c:v>-29.29893333333334</c:v>
                </c:pt>
                <c:pt idx="24">
                  <c:v>-30.572800000000008</c:v>
                </c:pt>
                <c:pt idx="25">
                  <c:v>-31.84666666666668</c:v>
                </c:pt>
                <c:pt idx="26">
                  <c:v>-33.12053333333335</c:v>
                </c:pt>
                <c:pt idx="27">
                  <c:v>-34.39440000000001</c:v>
                </c:pt>
                <c:pt idx="28">
                  <c:v>-35.668266666666675</c:v>
                </c:pt>
                <c:pt idx="29">
                  <c:v>-36.942133333333345</c:v>
                </c:pt>
                <c:pt idx="30">
                  <c:v>-38.21600000000001</c:v>
                </c:pt>
                <c:pt idx="31">
                  <c:v>-39.48986666666668</c:v>
                </c:pt>
                <c:pt idx="32">
                  <c:v>-40.76373333333335</c:v>
                </c:pt>
                <c:pt idx="33">
                  <c:v>-42.03760000000001</c:v>
                </c:pt>
                <c:pt idx="34">
                  <c:v>-43.31146666666668</c:v>
                </c:pt>
                <c:pt idx="35">
                  <c:v>-44.58533333333335</c:v>
                </c:pt>
                <c:pt idx="36">
                  <c:v>-45.859200000000016</c:v>
                </c:pt>
                <c:pt idx="37">
                  <c:v>-47.13306666666668</c:v>
                </c:pt>
                <c:pt idx="38">
                  <c:v>-48.40693333333335</c:v>
                </c:pt>
                <c:pt idx="39">
                  <c:v>-49.68080000000001</c:v>
                </c:pt>
                <c:pt idx="40">
                  <c:v>-50.95466666666668</c:v>
                </c:pt>
                <c:pt idx="41">
                  <c:v>-52.22853333333335</c:v>
                </c:pt>
                <c:pt idx="42">
                  <c:v>-53.502400000000016</c:v>
                </c:pt>
                <c:pt idx="43">
                  <c:v>-54.776266666666686</c:v>
                </c:pt>
                <c:pt idx="44">
                  <c:v>-56.05013333333334</c:v>
                </c:pt>
                <c:pt idx="45">
                  <c:v>-57.32400000000001</c:v>
                </c:pt>
                <c:pt idx="46">
                  <c:v>-58.59786666666668</c:v>
                </c:pt>
                <c:pt idx="47">
                  <c:v>-59.87173333333335</c:v>
                </c:pt>
                <c:pt idx="48">
                  <c:v>-61.145600000000016</c:v>
                </c:pt>
                <c:pt idx="49">
                  <c:v>-62.419466666666686</c:v>
                </c:pt>
                <c:pt idx="50">
                  <c:v>-63.69333333333336</c:v>
                </c:pt>
                <c:pt idx="51">
                  <c:v>-62.63347626666668</c:v>
                </c:pt>
                <c:pt idx="52">
                  <c:v>-61.573619200000024</c:v>
                </c:pt>
                <c:pt idx="53">
                  <c:v>-60.51376213333335</c:v>
                </c:pt>
                <c:pt idx="54">
                  <c:v>-59.45390506666668</c:v>
                </c:pt>
                <c:pt idx="55">
                  <c:v>-58.394048000000026</c:v>
                </c:pt>
                <c:pt idx="56">
                  <c:v>-57.33419093333335</c:v>
                </c:pt>
                <c:pt idx="57">
                  <c:v>-56.274333866666694</c:v>
                </c:pt>
                <c:pt idx="58">
                  <c:v>-55.21447680000002</c:v>
                </c:pt>
                <c:pt idx="59">
                  <c:v>-54.15461973333335</c:v>
                </c:pt>
                <c:pt idx="60">
                  <c:v>-53.09476266666669</c:v>
                </c:pt>
                <c:pt idx="61">
                  <c:v>-52.034905600000016</c:v>
                </c:pt>
                <c:pt idx="62">
                  <c:v>-50.975048533333364</c:v>
                </c:pt>
                <c:pt idx="63">
                  <c:v>-49.915191466666684</c:v>
                </c:pt>
                <c:pt idx="64">
                  <c:v>-48.85533440000003</c:v>
                </c:pt>
                <c:pt idx="65">
                  <c:v>-47.79547733333336</c:v>
                </c:pt>
                <c:pt idx="66">
                  <c:v>-46.735620266666686</c:v>
                </c:pt>
                <c:pt idx="67">
                  <c:v>-45.67576320000003</c:v>
                </c:pt>
                <c:pt idx="68">
                  <c:v>-44.615906133333354</c:v>
                </c:pt>
                <c:pt idx="69">
                  <c:v>-43.55604906666668</c:v>
                </c:pt>
                <c:pt idx="70">
                  <c:v>-42.49619200000002</c:v>
                </c:pt>
                <c:pt idx="71">
                  <c:v>-41.43633493333335</c:v>
                </c:pt>
                <c:pt idx="72">
                  <c:v>-40.376477866666676</c:v>
                </c:pt>
                <c:pt idx="73">
                  <c:v>-39.31662080000002</c:v>
                </c:pt>
                <c:pt idx="74">
                  <c:v>-38.256763733333344</c:v>
                </c:pt>
                <c:pt idx="75">
                  <c:v>-37.19690666666667</c:v>
                </c:pt>
                <c:pt idx="76">
                  <c:v>-37.19690666666667</c:v>
                </c:pt>
                <c:pt idx="77">
                  <c:v>-36.13704960000001</c:v>
                </c:pt>
                <c:pt idx="78">
                  <c:v>-35.07719253333334</c:v>
                </c:pt>
                <c:pt idx="79">
                  <c:v>-34.017335466666694</c:v>
                </c:pt>
                <c:pt idx="80">
                  <c:v>-32.95747840000003</c:v>
                </c:pt>
                <c:pt idx="81">
                  <c:v>-31.897621333333362</c:v>
                </c:pt>
                <c:pt idx="82">
                  <c:v>-30.83776426666668</c:v>
                </c:pt>
                <c:pt idx="83">
                  <c:v>-29.77790720000003</c:v>
                </c:pt>
                <c:pt idx="84">
                  <c:v>-28.71805013333335</c:v>
                </c:pt>
                <c:pt idx="85">
                  <c:v>-27.658193066666684</c:v>
                </c:pt>
                <c:pt idx="86">
                  <c:v>-26.598336000000018</c:v>
                </c:pt>
                <c:pt idx="87">
                  <c:v>-25.53847893333335</c:v>
                </c:pt>
                <c:pt idx="88">
                  <c:v>-24.47862186666667</c:v>
                </c:pt>
                <c:pt idx="89">
                  <c:v>-23.41876480000002</c:v>
                </c:pt>
                <c:pt idx="90">
                  <c:v>-22.358907733333368</c:v>
                </c:pt>
                <c:pt idx="91">
                  <c:v>-21.299050666666687</c:v>
                </c:pt>
                <c:pt idx="92">
                  <c:v>-20.239193600000036</c:v>
                </c:pt>
                <c:pt idx="93">
                  <c:v>-19.179336533333355</c:v>
                </c:pt>
                <c:pt idx="94">
                  <c:v>-18.11947946666669</c:v>
                </c:pt>
                <c:pt idx="95">
                  <c:v>-17.059622400000023</c:v>
                </c:pt>
                <c:pt idx="96">
                  <c:v>-15.999765333333357</c:v>
                </c:pt>
                <c:pt idx="97">
                  <c:v>-14.939908266666677</c:v>
                </c:pt>
                <c:pt idx="98">
                  <c:v>-13.880051200000025</c:v>
                </c:pt>
                <c:pt idx="99">
                  <c:v>-12.820194133333345</c:v>
                </c:pt>
                <c:pt idx="100">
                  <c:v>-11.760337066666679</c:v>
                </c:pt>
                <c:pt idx="101">
                  <c:v>-10.700480000000027</c:v>
                </c:pt>
                <c:pt idx="102">
                  <c:v>-10.700480000000027</c:v>
                </c:pt>
                <c:pt idx="103">
                  <c:v>-10.557806933333348</c:v>
                </c:pt>
                <c:pt idx="104">
                  <c:v>-10.415133866666682</c:v>
                </c:pt>
                <c:pt idx="105">
                  <c:v>-10.272460800000003</c:v>
                </c:pt>
                <c:pt idx="106">
                  <c:v>-10.129787733333366</c:v>
                </c:pt>
                <c:pt idx="107">
                  <c:v>-9.987114666666702</c:v>
                </c:pt>
                <c:pt idx="108">
                  <c:v>-9.844441600000007</c:v>
                </c:pt>
                <c:pt idx="109">
                  <c:v>-9.701768533333343</c:v>
                </c:pt>
                <c:pt idx="110">
                  <c:v>-9.559095466666676</c:v>
                </c:pt>
                <c:pt idx="111">
                  <c:v>-9.416422400000013</c:v>
                </c:pt>
                <c:pt idx="112">
                  <c:v>-9.273749333333347</c:v>
                </c:pt>
                <c:pt idx="113">
                  <c:v>-9.13107626666667</c:v>
                </c:pt>
                <c:pt idx="114">
                  <c:v>-8.988403200000004</c:v>
                </c:pt>
                <c:pt idx="115">
                  <c:v>-8.845730133333367</c:v>
                </c:pt>
                <c:pt idx="116">
                  <c:v>-8.703057066666702</c:v>
                </c:pt>
                <c:pt idx="117">
                  <c:v>-8.560384000000008</c:v>
                </c:pt>
                <c:pt idx="118">
                  <c:v>-8.417710933333343</c:v>
                </c:pt>
                <c:pt idx="119">
                  <c:v>-8.275037866666677</c:v>
                </c:pt>
                <c:pt idx="120">
                  <c:v>-8.132364800000012</c:v>
                </c:pt>
                <c:pt idx="121">
                  <c:v>-7.989691733333348</c:v>
                </c:pt>
                <c:pt idx="122">
                  <c:v>-7.847018666666681</c:v>
                </c:pt>
                <c:pt idx="123">
                  <c:v>-7.704345600000018</c:v>
                </c:pt>
                <c:pt idx="124">
                  <c:v>-7.5616725333333505</c:v>
                </c:pt>
                <c:pt idx="125">
                  <c:v>-7.418999466666687</c:v>
                </c:pt>
                <c:pt idx="126">
                  <c:v>-7.276326400000009</c:v>
                </c:pt>
                <c:pt idx="127">
                  <c:v>-7.133653333333342</c:v>
                </c:pt>
                <c:pt idx="128">
                  <c:v>-6.9909802666666785</c:v>
                </c:pt>
                <c:pt idx="129">
                  <c:v>-6.848307200000011</c:v>
                </c:pt>
                <c:pt idx="130">
                  <c:v>-6.705634133333376</c:v>
                </c:pt>
                <c:pt idx="131">
                  <c:v>-6.562961066666681</c:v>
                </c:pt>
                <c:pt idx="132">
                  <c:v>-6.420288000000017</c:v>
                </c:pt>
                <c:pt idx="133">
                  <c:v>-6.27761493333335</c:v>
                </c:pt>
                <c:pt idx="134">
                  <c:v>-6.134941866666686</c:v>
                </c:pt>
                <c:pt idx="135">
                  <c:v>-5.992268799999991</c:v>
                </c:pt>
                <c:pt idx="136">
                  <c:v>-5.849595733333356</c:v>
                </c:pt>
                <c:pt idx="137">
                  <c:v>-5.706922666666692</c:v>
                </c:pt>
                <c:pt idx="138">
                  <c:v>-5.564249600000025</c:v>
                </c:pt>
                <c:pt idx="139">
                  <c:v>-5.4215765333333295</c:v>
                </c:pt>
                <c:pt idx="140">
                  <c:v>-5.278903466666662</c:v>
                </c:pt>
                <c:pt idx="141">
                  <c:v>-5.136230399999995</c:v>
                </c:pt>
                <c:pt idx="142">
                  <c:v>-4.9935573333333565</c:v>
                </c:pt>
                <c:pt idx="143">
                  <c:v>-4.850884266666689</c:v>
                </c:pt>
                <c:pt idx="144">
                  <c:v>-4.708211200000001</c:v>
                </c:pt>
                <c:pt idx="145">
                  <c:v>-4.565538133333334</c:v>
                </c:pt>
                <c:pt idx="146">
                  <c:v>-4.422865066666667</c:v>
                </c:pt>
                <c:pt idx="147">
                  <c:v>-4.280192000000035</c:v>
                </c:pt>
                <c:pt idx="148">
                  <c:v>-4.1375189333333395</c:v>
                </c:pt>
                <c:pt idx="149">
                  <c:v>-3.9948458666666724</c:v>
                </c:pt>
                <c:pt idx="150">
                  <c:v>-3.8521728000000124</c:v>
                </c:pt>
                <c:pt idx="151">
                  <c:v>-3.7094997333333453</c:v>
                </c:pt>
                <c:pt idx="152">
                  <c:v>-3.5668266666666852</c:v>
                </c:pt>
                <c:pt idx="153">
                  <c:v>-3.424153600000018</c:v>
                </c:pt>
                <c:pt idx="154">
                  <c:v>-3.2814805333333226</c:v>
                </c:pt>
                <c:pt idx="155">
                  <c:v>-3.1388074666666554</c:v>
                </c:pt>
                <c:pt idx="156">
                  <c:v>-2.996134400000024</c:v>
                </c:pt>
                <c:pt idx="157">
                  <c:v>-2.8534613333333567</c:v>
                </c:pt>
                <c:pt idx="158">
                  <c:v>-2.7107882666666896</c:v>
                </c:pt>
                <c:pt idx="159">
                  <c:v>-2.568115200000001</c:v>
                </c:pt>
                <c:pt idx="160">
                  <c:v>-2.425442133333334</c:v>
                </c:pt>
                <c:pt idx="161">
                  <c:v>-2.282769066666667</c:v>
                </c:pt>
                <c:pt idx="162">
                  <c:v>-2.1400959999999998</c:v>
                </c:pt>
                <c:pt idx="163">
                  <c:v>-1.9974229333333398</c:v>
                </c:pt>
                <c:pt idx="164">
                  <c:v>-1.8547498666666726</c:v>
                </c:pt>
                <c:pt idx="165">
                  <c:v>-1.7120768000000126</c:v>
                </c:pt>
                <c:pt idx="166">
                  <c:v>-1.5694037333333455</c:v>
                </c:pt>
                <c:pt idx="167">
                  <c:v>-1.4267306666667139</c:v>
                </c:pt>
                <c:pt idx="168">
                  <c:v>-1.2840576000000468</c:v>
                </c:pt>
                <c:pt idx="169">
                  <c:v>-1.1413845333333796</c:v>
                </c:pt>
                <c:pt idx="170">
                  <c:v>-0.9987114666666557</c:v>
                </c:pt>
                <c:pt idx="171">
                  <c:v>-0.8560383999999956</c:v>
                </c:pt>
                <c:pt idx="172">
                  <c:v>-0.7133653333333285</c:v>
                </c:pt>
                <c:pt idx="173">
                  <c:v>-0.5706922666666969</c:v>
                </c:pt>
                <c:pt idx="174">
                  <c:v>-0.4280192000000227</c:v>
                </c:pt>
                <c:pt idx="175">
                  <c:v>-0.2853461333333627</c:v>
                </c:pt>
                <c:pt idx="176">
                  <c:v>-0.14267306666668844</c:v>
                </c:pt>
                <c:pt idx="177">
                  <c:v>0</c:v>
                </c:pt>
              </c:numCache>
            </c:numRef>
          </c:val>
        </c:ser>
        <c:axId val="59980238"/>
        <c:axId val="61705303"/>
      </c:areaChart>
      <c:catAx>
        <c:axId val="59980238"/>
        <c:scaling>
          <c:orientation val="minMax"/>
        </c:scaling>
        <c:axPos val="b"/>
        <c:delete val="0"/>
        <c:numFmt formatCode="General" sourceLinked="1"/>
        <c:majorTickMark val="in"/>
        <c:minorTickMark val="none"/>
        <c:tickLblPos val="low"/>
        <c:crossAx val="61705303"/>
        <c:crosses val="autoZero"/>
        <c:auto val="0"/>
        <c:lblOffset val="100"/>
        <c:tickLblSkip val="26"/>
        <c:noMultiLvlLbl val="0"/>
      </c:catAx>
      <c:valAx>
        <c:axId val="61705303"/>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59980238"/>
        <c:crossesAt val="1"/>
        <c:crossBetween val="between"/>
        <c:dispUnits/>
      </c:valAx>
      <c:spPr>
        <a:solidFill>
          <a:srgbClr val="FFFFFF"/>
        </a:solidFill>
        <a:ln w="25400">
          <a:solidFill>
            <a:srgbClr val="000000"/>
          </a:solidFill>
        </a:ln>
      </c:spPr>
    </c:plotArea>
    <c:plotVisOnly val="0"/>
    <c:dispBlanksAs val="gap"/>
    <c:showDLblsOverMax val="0"/>
  </c:chart>
  <c:txPr>
    <a:bodyPr vert="horz" rot="0"/>
    <a:lstStyle/>
    <a:p>
      <a:pPr>
        <a:defRPr lang="en-US" cap="none" sz="2800" b="1"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 Mz -   Moment  zasępczy</a:t>
            </a:r>
          </a:p>
        </c:rich>
      </c:tx>
      <c:layout>
        <c:manualLayout>
          <c:xMode val="factor"/>
          <c:yMode val="factor"/>
          <c:x val="0.01175"/>
          <c:y val="-0.007"/>
        </c:manualLayout>
      </c:layout>
      <c:spPr>
        <a:noFill/>
        <a:ln>
          <a:noFill/>
        </a:ln>
      </c:spPr>
    </c:title>
    <c:plotArea>
      <c:layout>
        <c:manualLayout>
          <c:xMode val="edge"/>
          <c:yMode val="edge"/>
          <c:x val="0.008"/>
          <c:y val="0.17375"/>
          <c:w val="0.98275"/>
          <c:h val="0.808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PROJEKT!$AA$66:$AA$243</c:f>
              <c:numCache>
                <c:ptCount val="178"/>
                <c:pt idx="0">
                  <c:v>89.56875000000001</c:v>
                </c:pt>
                <c:pt idx="1">
                  <c:v>89.60497710339688</c:v>
                </c:pt>
                <c:pt idx="2">
                  <c:v>89.7135706407543</c:v>
                </c:pt>
                <c:pt idx="3">
                  <c:v>89.89426835345233</c:v>
                </c:pt>
                <c:pt idx="4">
                  <c:v>90.1466366470039</c:v>
                </c:pt>
                <c:pt idx="5">
                  <c:v>90.47007574334701</c:v>
                </c:pt>
                <c:pt idx="6">
                  <c:v>90.86382669424891</c:v>
                </c:pt>
                <c:pt idx="7">
                  <c:v>91.32698006785078</c:v>
                </c:pt>
                <c:pt idx="8">
                  <c:v>91.85848608256222</c:v>
                </c:pt>
                <c:pt idx="9">
                  <c:v>92.45716593494797</c:v>
                </c:pt>
                <c:pt idx="10">
                  <c:v>93.12172405158894</c:v>
                </c:pt>
                <c:pt idx="11">
                  <c:v>93.85076098910234</c:v>
                </c:pt>
                <c:pt idx="12">
                  <c:v>94.64278671088728</c:v>
                </c:pt>
                <c:pt idx="13">
                  <c:v>95.49623398253433</c:v>
                </c:pt>
                <c:pt idx="14">
                  <c:v>96.40947164862457</c:v>
                </c:pt>
                <c:pt idx="15">
                  <c:v>97.3808175800681</c:v>
                </c:pt>
                <c:pt idx="16">
                  <c:v>98.408551111342</c:v>
                </c:pt>
                <c:pt idx="17">
                  <c:v>99.49092481920289</c:v>
                </c:pt>
                <c:pt idx="18">
                  <c:v>100.62617552705908</c:v>
                </c:pt>
                <c:pt idx="19">
                  <c:v>101.81253445082427</c:v>
                </c:pt>
                <c:pt idx="20">
                  <c:v>103.04823643165182</c:v>
                </c:pt>
                <c:pt idx="21">
                  <c:v>104.33152822767671</c:v>
                </c:pt>
                <c:pt idx="22">
                  <c:v>105.66067586026007</c:v>
                </c:pt>
                <c:pt idx="23">
                  <c:v>107.03397102998163</c:v>
                </c:pt>
                <c:pt idx="24">
                  <c:v>108.44973663371664</c:v>
                </c:pt>
                <c:pt idx="25">
                  <c:v>109.90633142669085</c:v>
                </c:pt>
                <c:pt idx="26">
                  <c:v>111.40215388267985</c:v>
                </c:pt>
                <c:pt idx="27">
                  <c:v>112.93564531184342</c:v>
                </c:pt>
                <c:pt idx="28">
                  <c:v>114.50529229944037</c:v>
                </c:pt>
                <c:pt idx="29">
                  <c:v>116.10962853025417</c:v>
                </c:pt>
                <c:pt idx="30">
                  <c:v>117.74723606336796</c:v>
                </c:pt>
                <c:pt idx="31">
                  <c:v>119.41674612032831</c:v>
                </c:pt>
                <c:pt idx="32">
                  <c:v>121.11683944706841</c:v>
                </c:pt>
                <c:pt idx="33">
                  <c:v>122.84624630652132</c:v>
                </c:pt>
                <c:pt idx="34">
                  <c:v>124.60374615489542</c:v>
                </c:pt>
                <c:pt idx="35">
                  <c:v>126.38816705032272</c:v>
                </c:pt>
                <c:pt idx="36">
                  <c:v>128.19838483819717</c:v>
                </c:pt>
                <c:pt idx="37">
                  <c:v>130.03332215313227</c:v>
                </c:pt>
                <c:pt idx="38">
                  <c:v>131.8919472731888</c:v>
                </c:pt>
                <c:pt idx="39">
                  <c:v>133.77327285793118</c:v>
                </c:pt>
                <c:pt idx="40">
                  <c:v>135.67635459801735</c:v>
                </c:pt>
                <c:pt idx="41">
                  <c:v>137.6002898004468</c:v>
                </c:pt>
                <c:pt idx="42">
                  <c:v>139.54421593030114</c:v>
                </c:pt>
                <c:pt idx="43">
                  <c:v>141.5073091268208</c:v>
                </c:pt>
                <c:pt idx="44">
                  <c:v>143.48878270896395</c:v>
                </c:pt>
                <c:pt idx="45">
                  <c:v>145.48788568318153</c:v>
                </c:pt>
                <c:pt idx="46">
                  <c:v>147.50390126400143</c:v>
                </c:pt>
                <c:pt idx="47">
                  <c:v>149.5361454161288</c:v>
                </c:pt>
                <c:pt idx="48">
                  <c:v>151.58396542511514</c:v>
                </c:pt>
                <c:pt idx="49">
                  <c:v>153.64673850221146</c:v>
                </c:pt>
                <c:pt idx="50">
                  <c:v>155.7238704277766</c:v>
                </c:pt>
                <c:pt idx="51">
                  <c:v>156.18924311311537</c:v>
                </c:pt>
                <c:pt idx="52">
                  <c:v>156.6704978337525</c:v>
                </c:pt>
                <c:pt idx="53">
                  <c:v>157.16748869499352</c:v>
                </c:pt>
                <c:pt idx="54">
                  <c:v>157.68006690096584</c:v>
                </c:pt>
                <c:pt idx="55">
                  <c:v>158.20808094747343</c:v>
                </c:pt>
                <c:pt idx="56">
                  <c:v>158.75137681374173</c:v>
                </c:pt>
                <c:pt idx="57">
                  <c:v>159.30979815259957</c:v>
                </c:pt>
                <c:pt idx="58">
                  <c:v>159.88318647866788</c:v>
                </c:pt>
                <c:pt idx="59">
                  <c:v>160.47138135415315</c:v>
                </c:pt>
                <c:pt idx="60">
                  <c:v>161.07422057186773</c:v>
                </c:pt>
                <c:pt idx="61">
                  <c:v>161.69154033512828</c:v>
                </c:pt>
                <c:pt idx="62">
                  <c:v>162.3231754342097</c:v>
                </c:pt>
                <c:pt idx="63">
                  <c:v>162.96895941905964</c:v>
                </c:pt>
                <c:pt idx="64">
                  <c:v>163.62872476800666</c:v>
                </c:pt>
                <c:pt idx="65">
                  <c:v>164.30230305222176</c:v>
                </c:pt>
                <c:pt idx="66">
                  <c:v>164.9895250957201</c:v>
                </c:pt>
                <c:pt idx="67">
                  <c:v>165.6902211307157</c:v>
                </c:pt>
                <c:pt idx="68">
                  <c:v>166.40422094816816</c:v>
                </c:pt>
                <c:pt idx="69">
                  <c:v>167.13135404338448</c:v>
                </c:pt>
                <c:pt idx="70">
                  <c:v>167.871449756564</c:v>
                </c:pt>
                <c:pt idx="71">
                  <c:v>168.624337408196</c:v>
                </c:pt>
                <c:pt idx="72">
                  <c:v>169.38984642924362</c:v>
                </c:pt>
                <c:pt idx="73">
                  <c:v>170.16780648606672</c:v>
                </c:pt>
                <c:pt idx="74">
                  <c:v>170.95804760005663</c:v>
                </c:pt>
                <c:pt idx="75">
                  <c:v>171.7604002619757</c:v>
                </c:pt>
                <c:pt idx="76">
                  <c:v>149.00035103811743</c:v>
                </c:pt>
                <c:pt idx="77">
                  <c:v>147.388878003096</c:v>
                </c:pt>
                <c:pt idx="78">
                  <c:v>145.78108174724022</c:v>
                </c:pt>
                <c:pt idx="79">
                  <c:v>144.1770852758312</c:v>
                </c:pt>
                <c:pt idx="80">
                  <c:v>142.5770168320539</c:v>
                </c:pt>
                <c:pt idx="81">
                  <c:v>140.9810101597942</c:v>
                </c:pt>
                <c:pt idx="82">
                  <c:v>139.38920478099786</c:v>
                </c:pt>
                <c:pt idx="83">
                  <c:v>137.80174628841476</c:v>
                </c:pt>
                <c:pt idx="84">
                  <c:v>136.21878665459124</c:v>
                </c:pt>
                <c:pt idx="85">
                  <c:v>134.6404845580117</c:v>
                </c:pt>
                <c:pt idx="86">
                  <c:v>133.06700572733294</c:v>
                </c:pt>
                <c:pt idx="87">
                  <c:v>131.49852330469213</c:v>
                </c:pt>
                <c:pt idx="88">
                  <c:v>129.9352182291083</c:v>
                </c:pt>
                <c:pt idx="89">
                  <c:v>128.3772796410333</c:v>
                </c:pt>
                <c:pt idx="90">
                  <c:v>126.82490530914214</c:v>
                </c:pt>
                <c:pt idx="91">
                  <c:v>125.2783020804816</c:v>
                </c:pt>
                <c:pt idx="92">
                  <c:v>123.73768635512243</c:v>
                </c:pt>
                <c:pt idx="93">
                  <c:v>122.20328458647766</c:v>
                </c:pt>
                <c:pt idx="94">
                  <c:v>120.67533380846048</c:v>
                </c:pt>
                <c:pt idx="95">
                  <c:v>119.15408219065691</c:v>
                </c:pt>
                <c:pt idx="96">
                  <c:v>117.63978962267403</c:v>
                </c:pt>
                <c:pt idx="97">
                  <c:v>116.13272832880025</c:v>
                </c:pt>
                <c:pt idx="98">
                  <c:v>114.63318351406616</c:v>
                </c:pt>
                <c:pt idx="99">
                  <c:v>113.14145404272894</c:v>
                </c:pt>
                <c:pt idx="100">
                  <c:v>111.6578531501079</c:v>
                </c:pt>
                <c:pt idx="101">
                  <c:v>110.18270918857411</c:v>
                </c:pt>
                <c:pt idx="102">
                  <c:v>106.85597276822325</c:v>
                </c:pt>
                <c:pt idx="103">
                  <c:v>105.43122646464697</c:v>
                </c:pt>
                <c:pt idx="104">
                  <c:v>104.00648016107063</c:v>
                </c:pt>
                <c:pt idx="105">
                  <c:v>102.58173385749433</c:v>
                </c:pt>
                <c:pt idx="106">
                  <c:v>101.15698755391801</c:v>
                </c:pt>
                <c:pt idx="107">
                  <c:v>99.7322412503417</c:v>
                </c:pt>
                <c:pt idx="108">
                  <c:v>98.3074949467654</c:v>
                </c:pt>
                <c:pt idx="109">
                  <c:v>96.88274864318907</c:v>
                </c:pt>
                <c:pt idx="110">
                  <c:v>95.45800233961278</c:v>
                </c:pt>
                <c:pt idx="111">
                  <c:v>94.03325603603646</c:v>
                </c:pt>
                <c:pt idx="112">
                  <c:v>92.60850973246015</c:v>
                </c:pt>
                <c:pt idx="113">
                  <c:v>91.18376342888386</c:v>
                </c:pt>
                <c:pt idx="114">
                  <c:v>89.75901712530754</c:v>
                </c:pt>
                <c:pt idx="115">
                  <c:v>88.33427082173122</c:v>
                </c:pt>
                <c:pt idx="116">
                  <c:v>86.90952451815494</c:v>
                </c:pt>
                <c:pt idx="117">
                  <c:v>85.48477821457861</c:v>
                </c:pt>
                <c:pt idx="118">
                  <c:v>84.06003191100231</c:v>
                </c:pt>
                <c:pt idx="119">
                  <c:v>82.635285607426</c:v>
                </c:pt>
                <c:pt idx="120">
                  <c:v>81.2105393038497</c:v>
                </c:pt>
                <c:pt idx="121">
                  <c:v>79.78579300027336</c:v>
                </c:pt>
                <c:pt idx="122">
                  <c:v>78.36104669669706</c:v>
                </c:pt>
                <c:pt idx="123">
                  <c:v>76.93630039312075</c:v>
                </c:pt>
                <c:pt idx="124">
                  <c:v>75.5115540895444</c:v>
                </c:pt>
                <c:pt idx="125">
                  <c:v>74.0868077859681</c:v>
                </c:pt>
                <c:pt idx="126">
                  <c:v>72.66206148239182</c:v>
                </c:pt>
                <c:pt idx="127">
                  <c:v>71.23731517881554</c:v>
                </c:pt>
                <c:pt idx="128">
                  <c:v>69.81256887523921</c:v>
                </c:pt>
                <c:pt idx="129">
                  <c:v>68.38782257166287</c:v>
                </c:pt>
                <c:pt idx="130">
                  <c:v>66.96307626808658</c:v>
                </c:pt>
                <c:pt idx="131">
                  <c:v>65.53832996451027</c:v>
                </c:pt>
                <c:pt idx="132">
                  <c:v>64.11358366093393</c:v>
                </c:pt>
                <c:pt idx="133">
                  <c:v>62.68883735735761</c:v>
                </c:pt>
                <c:pt idx="134">
                  <c:v>61.26409105378131</c:v>
                </c:pt>
                <c:pt idx="135">
                  <c:v>59.83934475020502</c:v>
                </c:pt>
                <c:pt idx="136">
                  <c:v>58.41459844662869</c:v>
                </c:pt>
                <c:pt idx="137">
                  <c:v>56.98985214305238</c:v>
                </c:pt>
                <c:pt idx="138">
                  <c:v>55.56510583947609</c:v>
                </c:pt>
                <c:pt idx="139">
                  <c:v>54.140359535899755</c:v>
                </c:pt>
                <c:pt idx="140">
                  <c:v>52.71561323232347</c:v>
                </c:pt>
                <c:pt idx="141">
                  <c:v>51.29086692874716</c:v>
                </c:pt>
                <c:pt idx="142">
                  <c:v>49.866120625170815</c:v>
                </c:pt>
                <c:pt idx="143">
                  <c:v>48.44137432159454</c:v>
                </c:pt>
                <c:pt idx="144">
                  <c:v>47.016628018018224</c:v>
                </c:pt>
                <c:pt idx="145">
                  <c:v>45.591881714441946</c:v>
                </c:pt>
                <c:pt idx="146">
                  <c:v>44.167135410865605</c:v>
                </c:pt>
                <c:pt idx="147">
                  <c:v>42.7423891072893</c:v>
                </c:pt>
                <c:pt idx="148">
                  <c:v>41.317642803713014</c:v>
                </c:pt>
                <c:pt idx="149">
                  <c:v>39.892896500136644</c:v>
                </c:pt>
                <c:pt idx="150">
                  <c:v>38.46815019656045</c:v>
                </c:pt>
                <c:pt idx="151">
                  <c:v>37.04340389298414</c:v>
                </c:pt>
                <c:pt idx="152">
                  <c:v>35.6186575894078</c:v>
                </c:pt>
                <c:pt idx="153">
                  <c:v>34.19391128583149</c:v>
                </c:pt>
                <c:pt idx="154">
                  <c:v>32.76916498225518</c:v>
                </c:pt>
                <c:pt idx="155">
                  <c:v>31.344418678678835</c:v>
                </c:pt>
                <c:pt idx="156">
                  <c:v>29.919672375102554</c:v>
                </c:pt>
                <c:pt idx="157">
                  <c:v>28.494926071526244</c:v>
                </c:pt>
                <c:pt idx="158">
                  <c:v>27.070179767949906</c:v>
                </c:pt>
                <c:pt idx="159">
                  <c:v>25.64543346437362</c:v>
                </c:pt>
                <c:pt idx="160">
                  <c:v>24.22068716079731</c:v>
                </c:pt>
                <c:pt idx="161">
                  <c:v>22.795940857221026</c:v>
                </c:pt>
                <c:pt idx="162">
                  <c:v>21.37119455364469</c:v>
                </c:pt>
                <c:pt idx="163">
                  <c:v>19.94644825006838</c:v>
                </c:pt>
                <c:pt idx="164">
                  <c:v>18.521701946492094</c:v>
                </c:pt>
                <c:pt idx="165">
                  <c:v>17.09695564291576</c:v>
                </c:pt>
                <c:pt idx="166">
                  <c:v>15.672209339339448</c:v>
                </c:pt>
                <c:pt idx="167">
                  <c:v>14.24746303576317</c:v>
                </c:pt>
                <c:pt idx="168">
                  <c:v>12.822716732186828</c:v>
                </c:pt>
                <c:pt idx="169">
                  <c:v>11.397970428610462</c:v>
                </c:pt>
                <c:pt idx="170">
                  <c:v>9.97322412503423</c:v>
                </c:pt>
                <c:pt idx="171">
                  <c:v>8.548477821457892</c:v>
                </c:pt>
                <c:pt idx="172">
                  <c:v>7.123731517881525</c:v>
                </c:pt>
                <c:pt idx="173">
                  <c:v>5.698985214305302</c:v>
                </c:pt>
                <c:pt idx="174">
                  <c:v>4.274238910728963</c:v>
                </c:pt>
                <c:pt idx="175">
                  <c:v>2.8494926071526248</c:v>
                </c:pt>
                <c:pt idx="176">
                  <c:v>1.4247463035762846</c:v>
                </c:pt>
                <c:pt idx="177">
                  <c:v>0</c:v>
                </c:pt>
              </c:numCache>
            </c:numRef>
          </c:val>
        </c:ser>
        <c:axId val="44623324"/>
        <c:axId val="19007981"/>
      </c:areaChart>
      <c:catAx>
        <c:axId val="44623324"/>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19007981"/>
        <c:crosses val="autoZero"/>
        <c:auto val="0"/>
        <c:lblOffset val="100"/>
        <c:tickLblSkip val="26"/>
        <c:noMultiLvlLbl val="0"/>
      </c:catAx>
      <c:valAx>
        <c:axId val="1900798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44623324"/>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t>D - średnica wałka</a:t>
            </a:r>
          </a:p>
        </c:rich>
      </c:tx>
      <c:layout/>
      <c:spPr>
        <a:noFill/>
        <a:ln>
          <a:noFill/>
        </a:ln>
      </c:spPr>
    </c:title>
    <c:plotArea>
      <c:layout>
        <c:manualLayout>
          <c:xMode val="edge"/>
          <c:yMode val="edge"/>
          <c:x val="0.0045"/>
          <c:y val="0.145"/>
          <c:w val="0.99025"/>
          <c:h val="0.85"/>
        </c:manualLayout>
      </c:layout>
      <c:areaChart>
        <c:grouping val="stacked"/>
        <c:varyColors val="0"/>
        <c:ser>
          <c:idx val="0"/>
          <c:order val="0"/>
          <c:spPr>
            <a:pattFill prst="pct20">
              <a:fgClr>
                <a:srgbClr val="3333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PROJEKT!$AB$66:$AB$243</c:f>
              <c:numCache>
                <c:ptCount val="178"/>
                <c:pt idx="0">
                  <c:v>0.02285765902852205</c:v>
                </c:pt>
                <c:pt idx="1">
                  <c:v>0.02286074029351592</c:v>
                </c:pt>
                <c:pt idx="2">
                  <c:v>0.022869971650000286</c:v>
                </c:pt>
                <c:pt idx="3">
                  <c:v>0.022885315965968354</c:v>
                </c:pt>
                <c:pt idx="4">
                  <c:v>0.022906711960532167</c:v>
                </c:pt>
                <c:pt idx="5">
                  <c:v>0.022934075092532518</c:v>
                </c:pt>
                <c:pt idx="6">
                  <c:v>0.022967298765567534</c:v>
                </c:pt>
                <c:pt idx="7">
                  <c:v>0.023006255812942737</c:v>
                </c:pt>
                <c:pt idx="8">
                  <c:v>0.023050800218996945</c:v>
                </c:pt>
                <c:pt idx="9">
                  <c:v>0.023100769028363374</c:v>
                </c:pt>
                <c:pt idx="10">
                  <c:v>0.023155984392097484</c:v>
                </c:pt>
                <c:pt idx="11">
                  <c:v>0.023216255699197132</c:v>
                </c:pt>
                <c:pt idx="12">
                  <c:v>0.02328138174367629</c:v>
                </c:pt>
                <c:pt idx="13">
                  <c:v>0.02335115288074371</c:v>
                </c:pt>
                <c:pt idx="14">
                  <c:v>0.023425353130419987</c:v>
                </c:pt>
                <c:pt idx="15">
                  <c:v>0.023503762192701897</c:v>
                </c:pt>
                <c:pt idx="16">
                  <c:v>0.02358615734475179</c:v>
                </c:pt>
                <c:pt idx="17">
                  <c:v>0.023672315197175615</c:v>
                </c:pt>
                <c:pt idx="18">
                  <c:v>0.023762013292930387</c:v>
                </c:pt>
                <c:pt idx="19">
                  <c:v>0.023855031538502137</c:v>
                </c:pt>
                <c:pt idx="20">
                  <c:v>0.023951153462521142</c:v>
                </c:pt>
                <c:pt idx="21">
                  <c:v>0.024050167301799596</c:v>
                </c:pt>
                <c:pt idx="22">
                  <c:v>0.02415186691881666</c:v>
                </c:pt>
                <c:pt idx="23">
                  <c:v>0.0242560525579198</c:v>
                </c:pt>
                <c:pt idx="24">
                  <c:v>0.024362531449982856</c:v>
                </c:pt>
                <c:pt idx="25">
                  <c:v>0.02447111827701641</c:v>
                </c:pt>
                <c:pt idx="26">
                  <c:v>0.024581635509342326</c:v>
                </c:pt>
                <c:pt idx="27">
                  <c:v>0.024693913628508517</c:v>
                </c:pt>
                <c:pt idx="28">
                  <c:v>0.02480779124922709</c:v>
                </c:pt>
                <c:pt idx="29">
                  <c:v>0.0249231151533592</c:v>
                </c:pt>
                <c:pt idx="30">
                  <c:v>0.025039740248428574</c:v>
                </c:pt>
                <c:pt idx="31">
                  <c:v>0.025157529462401126</c:v>
                </c:pt>
                <c:pt idx="32">
                  <c:v>0.025276353585585127</c:v>
                </c:pt>
                <c:pt idx="33">
                  <c:v>0.025396091069543436</c:v>
                </c:pt>
                <c:pt idx="34">
                  <c:v>0.02551662779191103</c:v>
                </c:pt>
                <c:pt idx="35">
                  <c:v>0.025637856795013222</c:v>
                </c:pt>
                <c:pt idx="36">
                  <c:v>0.0257596780052119</c:v>
                </c:pt>
                <c:pt idx="37">
                  <c:v>0.025881997938985664</c:v>
                </c:pt>
                <c:pt idx="38">
                  <c:v>0.026004729400891796</c:v>
                </c:pt>
                <c:pt idx="39">
                  <c:v>0.026127791177768145</c:v>
                </c:pt>
                <c:pt idx="40">
                  <c:v>0.026251107732818475</c:v>
                </c:pt>
                <c:pt idx="41">
                  <c:v>0.026374608902584605</c:v>
                </c:pt>
                <c:pt idx="42">
                  <c:v>0.026498229599240863</c:v>
                </c:pt>
                <c:pt idx="43">
                  <c:v>0.02662190952014993</c:v>
                </c:pt>
                <c:pt idx="44">
                  <c:v>0.026745592866186697</c:v>
                </c:pt>
                <c:pt idx="45">
                  <c:v>0.026869228069965605</c:v>
                </c:pt>
                <c:pt idx="46">
                  <c:v>0.02699276753479</c:v>
                </c:pt>
                <c:pt idx="47">
                  <c:v>0.02711616738487506</c:v>
                </c:pt>
                <c:pt idx="48">
                  <c:v>0.027239387227172014</c:v>
                </c:pt>
                <c:pt idx="49">
                  <c:v>0.027362389924936628</c:v>
                </c:pt>
                <c:pt idx="50">
                  <c:v>0.0274851413830338</c:v>
                </c:pt>
                <c:pt idx="51">
                  <c:v>0.027512493459391076</c:v>
                </c:pt>
                <c:pt idx="52">
                  <c:v>0.02754072191119764</c:v>
                </c:pt>
                <c:pt idx="53">
                  <c:v>0.027569812772962075</c:v>
                </c:pt>
                <c:pt idx="54">
                  <c:v>0.027599751853177843</c:v>
                </c:pt>
                <c:pt idx="55">
                  <c:v>0.027630524756163587</c:v>
                </c:pt>
                <c:pt idx="56">
                  <c:v>0.02766211690363936</c:v>
                </c:pt>
                <c:pt idx="57">
                  <c:v>0.027694513555984054</c:v>
                </c:pt>
                <c:pt idx="58">
                  <c:v>0.027727699833123256</c:v>
                </c:pt>
                <c:pt idx="59">
                  <c:v>0.02776166073499989</c:v>
                </c:pt>
                <c:pt idx="60">
                  <c:v>0.02779638116158472</c:v>
                </c:pt>
                <c:pt idx="61">
                  <c:v>0.027831845932387224</c:v>
                </c:pt>
                <c:pt idx="62">
                  <c:v>0.027868039805431417</c:v>
                </c:pt>
                <c:pt idx="63">
                  <c:v>0.0279049474956652</c:v>
                </c:pt>
                <c:pt idx="64">
                  <c:v>0.02794255369277561</c:v>
                </c:pt>
                <c:pt idx="65">
                  <c:v>0.027980843078386195</c:v>
                </c:pt>
                <c:pt idx="66">
                  <c:v>0.02801980034261629</c:v>
                </c:pt>
                <c:pt idx="67">
                  <c:v>0.028059410199985726</c:v>
                </c:pt>
                <c:pt idx="68">
                  <c:v>0.02809965740465182</c:v>
                </c:pt>
                <c:pt idx="69">
                  <c:v>0.02814052676496894</c:v>
                </c:pt>
                <c:pt idx="70">
                  <c:v>0.028182003157363824</c:v>
                </c:pt>
                <c:pt idx="71">
                  <c:v>0.02822407153952301</c:v>
                </c:pt>
                <c:pt idx="72">
                  <c:v>0.028266716962891555</c:v>
                </c:pt>
                <c:pt idx="73">
                  <c:v>0.02830992458448478</c:v>
                </c:pt>
                <c:pt idx="74">
                  <c:v>0.02835367967801691</c:v>
                </c:pt>
                <c:pt idx="75">
                  <c:v>0.028397967644353466</c:v>
                </c:pt>
                <c:pt idx="76">
                  <c:v>0.027083742499849257</c:v>
                </c:pt>
                <c:pt idx="77">
                  <c:v>0.026985749407350774</c:v>
                </c:pt>
                <c:pt idx="78">
                  <c:v>0.02688726546130644</c:v>
                </c:pt>
                <c:pt idx="79">
                  <c:v>0.026788290054875912</c:v>
                </c:pt>
                <c:pt idx="80">
                  <c:v>0.026688822915955954</c:v>
                </c:pt>
                <c:pt idx="81">
                  <c:v>0.02658886413726667</c:v>
                </c:pt>
                <c:pt idx="82">
                  <c:v>0.026488414208785505</c:v>
                </c:pt>
                <c:pt idx="83">
                  <c:v>0.026387474052707457</c:v>
                </c:pt>
                <c:pt idx="84">
                  <c:v>0.02628604506112336</c:v>
                </c:pt>
                <c:pt idx="85">
                  <c:v>0.02618412913662093</c:v>
                </c:pt>
                <c:pt idx="86">
                  <c:v>0.02608172873602865</c:v>
                </c:pt>
                <c:pt idx="87">
                  <c:v>0.025978846917536783</c:v>
                </c:pt>
                <c:pt idx="88">
                  <c:v>0.025875487391446187</c:v>
                </c:pt>
                <c:pt idx="89">
                  <c:v>0.025771654574811582</c:v>
                </c:pt>
                <c:pt idx="90">
                  <c:v>0.025667353650263795</c:v>
                </c:pt>
                <c:pt idx="91">
                  <c:v>0.02556259062931206</c:v>
                </c:pt>
                <c:pt idx="92">
                  <c:v>0.025457372420446402</c:v>
                </c:pt>
                <c:pt idx="93">
                  <c:v>0.02535170690237747</c:v>
                </c:pt>
                <c:pt idx="94">
                  <c:v>0.025245603002770036</c:v>
                </c:pt>
                <c:pt idx="95">
                  <c:v>0.0251390707828439</c:v>
                </c:pt>
                <c:pt idx="96">
                  <c:v>0.0250321215282332</c:v>
                </c:pt>
                <c:pt idx="97">
                  <c:v>0.02492476784651158</c:v>
                </c:pt>
                <c:pt idx="98">
                  <c:v>0.024817023771805256</c:v>
                </c:pt>
                <c:pt idx="99">
                  <c:v>0.024708904876928395</c:v>
                </c:pt>
                <c:pt idx="100">
                  <c:v>0.02460042839348481</c:v>
                </c:pt>
                <c:pt idx="101">
                  <c:v>0.02449161334038562</c:v>
                </c:pt>
                <c:pt idx="102">
                  <c:v>0.024242599100951803</c:v>
                </c:pt>
                <c:pt idx="103">
                  <c:v>0.02413437177090509</c:v>
                </c:pt>
                <c:pt idx="104">
                  <c:v>0.024025164974732498</c:v>
                </c:pt>
                <c:pt idx="105">
                  <c:v>0.023914956246368135</c:v>
                </c:pt>
                <c:pt idx="106">
                  <c:v>0.023803722283734403</c:v>
                </c:pt>
                <c:pt idx="107">
                  <c:v>0.02369143890535955</c:v>
                </c:pt>
                <c:pt idx="108">
                  <c:v>0.023578081004089004</c:v>
                </c:pt>
                <c:pt idx="109">
                  <c:v>0.023463622497650403</c:v>
                </c:pt>
                <c:pt idx="110">
                  <c:v>0.02334803627580885</c:v>
                </c:pt>
                <c:pt idx="111">
                  <c:v>0.02323129414382258</c:v>
                </c:pt>
                <c:pt idx="112">
                  <c:v>0.02311336676187959</c:v>
                </c:pt>
                <c:pt idx="113">
                  <c:v>0.022994223580163283</c:v>
                </c:pt>
                <c:pt idx="114">
                  <c:v>0.02287383276915746</c:v>
                </c:pt>
                <c:pt idx="115">
                  <c:v>0.022752161144760894</c:v>
                </c:pt>
                <c:pt idx="116">
                  <c:v>0.02262917408773358</c:v>
                </c:pt>
                <c:pt idx="117">
                  <c:v>0.022504835456945815</c:v>
                </c:pt>
                <c:pt idx="118">
                  <c:v>0.022379107495841013</c:v>
                </c:pt>
                <c:pt idx="119">
                  <c:v>0.02225195073145674</c:v>
                </c:pt>
                <c:pt idx="120">
                  <c:v>0.022123323865272534</c:v>
                </c:pt>
                <c:pt idx="121">
                  <c:v>0.02199318365506726</c:v>
                </c:pt>
                <c:pt idx="122">
                  <c:v>0.021861484786869886</c:v>
                </c:pt>
                <c:pt idx="123">
                  <c:v>0.021728179735977578</c:v>
                </c:pt>
                <c:pt idx="124">
                  <c:v>0.02159321861588539</c:v>
                </c:pt>
                <c:pt idx="125">
                  <c:v>0.021456549013827424</c:v>
                </c:pt>
                <c:pt idx="126">
                  <c:v>0.02131811581146003</c:v>
                </c:pt>
                <c:pt idx="127">
                  <c:v>0.021177860989025268</c:v>
                </c:pt>
                <c:pt idx="128">
                  <c:v>0.02103572341110909</c:v>
                </c:pt>
                <c:pt idx="129">
                  <c:v>0.02089163859185053</c:v>
                </c:pt>
                <c:pt idx="130">
                  <c:v>0.02074553843715834</c:v>
                </c:pt>
                <c:pt idx="131">
                  <c:v>0.020597350961142184</c:v>
                </c:pt>
                <c:pt idx="132">
                  <c:v>0.020446999973557575</c:v>
                </c:pt>
                <c:pt idx="133">
                  <c:v>0.02029440473458618</c:v>
                </c:pt>
                <c:pt idx="134">
                  <c:v>0.02013947957271068</c:v>
                </c:pt>
                <c:pt idx="135">
                  <c:v>0.019982133460780968</c:v>
                </c:pt>
                <c:pt idx="136">
                  <c:v>0.01982226954458353</c:v>
                </c:pt>
                <c:pt idx="137">
                  <c:v>0.019659784617292664</c:v>
                </c:pt>
                <c:pt idx="138">
                  <c:v>0.01949456853206897</c:v>
                </c:pt>
                <c:pt idx="139">
                  <c:v>0.019326503543736443</c:v>
                </c:pt>
                <c:pt idx="140">
                  <c:v>0.019155463568863176</c:v>
                </c:pt>
                <c:pt idx="141">
                  <c:v>0.018981313351629114</c:v>
                </c:pt>
                <c:pt idx="142">
                  <c:v>0.018803907520504037</c:v>
                </c:pt>
                <c:pt idx="143">
                  <c:v>0.018623089517877486</c:v>
                </c:pt>
                <c:pt idx="144">
                  <c:v>0.018438690381243315</c:v>
                </c:pt>
                <c:pt idx="145">
                  <c:v>0.018250527350171592</c:v>
                </c:pt>
                <c:pt idx="146">
                  <c:v>0.018058402267871723</c:v>
                </c:pt>
                <c:pt idx="147">
                  <c:v>0.017862099739363518</c:v>
                </c:pt>
                <c:pt idx="148">
                  <c:v>0.01766138499972949</c:v>
                </c:pt>
                <c:pt idx="149">
                  <c:v>0.017456001435091777</c:v>
                </c:pt>
                <c:pt idx="150">
                  <c:v>0.01724566768512248</c:v>
                </c:pt>
                <c:pt idx="151">
                  <c:v>0.017030074238078455</c:v>
                </c:pt>
                <c:pt idx="152">
                  <c:v>0.016808879406207507</c:v>
                </c:pt>
                <c:pt idx="153">
                  <c:v>0.0165817045390215</c:v>
                </c:pt>
                <c:pt idx="154">
                  <c:v>0.01634812829173766</c:v>
                </c:pt>
                <c:pt idx="155">
                  <c:v>0.01610767971237526</c:v>
                </c:pt>
                <c:pt idx="156">
                  <c:v>0.015859829838106337</c:v>
                </c:pt>
                <c:pt idx="157">
                  <c:v>0.015603981391479312</c:v>
                </c:pt>
                <c:pt idx="158">
                  <c:v>0.015339456028097187</c:v>
                </c:pt>
                <c:pt idx="159">
                  <c:v>0.015065478391057062</c:v>
                </c:pt>
                <c:pt idx="160">
                  <c:v>0.014781155945788339</c:v>
                </c:pt>
                <c:pt idx="161">
                  <c:v>0.014485453157318393</c:v>
                </c:pt>
                <c:pt idx="162">
                  <c:v>0.01417715795831329</c:v>
                </c:pt>
                <c:pt idx="163">
                  <c:v>0.01385483752061156</c:v>
                </c:pt>
                <c:pt idx="164">
                  <c:v>0.01351677888031114</c:v>
                </c:pt>
                <c:pt idx="165">
                  <c:v>0.013160907614334291</c:v>
                </c:pt>
                <c:pt idx="166">
                  <c:v>0.01278467386009567</c:v>
                </c:pt>
                <c:pt idx="167">
                  <c:v>0.012384888237863248</c:v>
                </c:pt>
                <c:pt idx="168">
                  <c:v>0.011957478123184082</c:v>
                </c:pt>
                <c:pt idx="169">
                  <c:v>0.01149711179008164</c:v>
                </c:pt>
                <c:pt idx="170">
                  <c:v>0.010996591827533648</c:v>
                </c:pt>
                <c:pt idx="171">
                  <c:v>0.010445819295925283</c:v>
                </c:pt>
                <c:pt idx="172">
                  <c:v>0.009829892308646318</c:v>
                </c:pt>
                <c:pt idx="173">
                  <c:v>0.009125263675085827</c:v>
                </c:pt>
                <c:pt idx="174">
                  <c:v>0.008290852269510764</c:v>
                </c:pt>
                <c:pt idx="175">
                  <c:v>0.007242726578659197</c:v>
                </c:pt>
                <c:pt idx="176">
                  <c:v>0.005748555895040789</c:v>
                </c:pt>
                <c:pt idx="177">
                  <c:v>0</c:v>
                </c:pt>
              </c:numCache>
            </c:numRef>
          </c:val>
        </c:ser>
        <c:axId val="14360538"/>
        <c:axId val="13802419"/>
      </c:areaChart>
      <c:catAx>
        <c:axId val="14360538"/>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13802419"/>
        <c:crosses val="autoZero"/>
        <c:auto val="0"/>
        <c:lblOffset val="100"/>
        <c:tickLblSkip val="26"/>
        <c:noMultiLvlLbl val="0"/>
      </c:catAx>
      <c:valAx>
        <c:axId val="13802419"/>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14360538"/>
        <c:crossesAt val="1"/>
        <c:crossBetween val="between"/>
        <c:dispUnits/>
      </c:valAx>
      <c:spPr>
        <a:ln w="25400">
          <a:solidFill>
            <a:srgbClr val="000000"/>
          </a:solidFill>
        </a:ln>
      </c:spPr>
    </c:plotArea>
    <c:plotVisOnly val="0"/>
    <c:dispBlanksAs val="gap"/>
    <c:showDLblsOverMax val="0"/>
  </c:chart>
  <c:txPr>
    <a:bodyPr vert="horz" rot="0"/>
    <a:lstStyle/>
    <a:p>
      <a:pPr>
        <a:defRPr lang="en-US" cap="none" sz="36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Ms</a:t>
            </a:r>
          </a:p>
        </c:rich>
      </c:tx>
      <c:layout/>
      <c:spPr>
        <a:noFill/>
        <a:ln>
          <a:noFill/>
        </a:ln>
      </c:spPr>
    </c:title>
    <c:plotArea>
      <c:layout>
        <c:manualLayout>
          <c:xMode val="edge"/>
          <c:yMode val="edge"/>
          <c:x val="0.0345"/>
          <c:y val="0.20925"/>
          <c:w val="0.931"/>
          <c:h val="0.74"/>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PROJEKT!$Z$66:$Z$243</c:f>
              <c:numCache/>
            </c:numRef>
          </c:val>
        </c:ser>
        <c:axId val="16007966"/>
        <c:axId val="61577831"/>
      </c:areaChart>
      <c:catAx>
        <c:axId val="16007966"/>
        <c:scaling>
          <c:orientation val="minMax"/>
        </c:scaling>
        <c:axPos val="b"/>
        <c:delete val="0"/>
        <c:numFmt formatCode="General" sourceLinked="1"/>
        <c:majorTickMark val="in"/>
        <c:minorTickMark val="none"/>
        <c:tickLblPos val="low"/>
        <c:crossAx val="61577831"/>
        <c:crosses val="autoZero"/>
        <c:auto val="0"/>
        <c:lblOffset val="100"/>
        <c:tickLblSkip val="26"/>
        <c:noMultiLvlLbl val="0"/>
      </c:catAx>
      <c:valAx>
        <c:axId val="61577831"/>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16007966"/>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Mgy</a:t>
            </a:r>
          </a:p>
        </c:rich>
      </c:tx>
      <c:layout/>
      <c:spPr>
        <a:noFill/>
        <a:ln>
          <a:noFill/>
        </a:ln>
      </c:spPr>
    </c:title>
    <c:plotArea>
      <c:layout>
        <c:manualLayout>
          <c:xMode val="edge"/>
          <c:yMode val="edge"/>
          <c:x val="0.034"/>
          <c:y val="0.20525"/>
          <c:w val="0.93275"/>
          <c:h val="0.7445"/>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PROJEKT!$X$66:$X$243</c:f>
              <c:numCache/>
            </c:numRef>
          </c:val>
        </c:ser>
        <c:axId val="40926636"/>
        <c:axId val="46021757"/>
      </c:areaChart>
      <c:catAx>
        <c:axId val="40926636"/>
        <c:scaling>
          <c:orientation val="minMax"/>
        </c:scaling>
        <c:axPos val="b"/>
        <c:delete val="0"/>
        <c:numFmt formatCode="General" sourceLinked="1"/>
        <c:majorTickMark val="in"/>
        <c:minorTickMark val="none"/>
        <c:tickLblPos val="low"/>
        <c:crossAx val="46021757"/>
        <c:crosses val="autoZero"/>
        <c:auto val="0"/>
        <c:lblOffset val="100"/>
        <c:tickLblSkip val="26"/>
        <c:noMultiLvlLbl val="0"/>
      </c:catAx>
      <c:valAx>
        <c:axId val="46021757"/>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40926636"/>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Mgx</a:t>
            </a:r>
          </a:p>
        </c:rich>
      </c:tx>
      <c:layout/>
      <c:spPr>
        <a:noFill/>
        <a:ln>
          <a:noFill/>
        </a:ln>
      </c:spPr>
    </c:title>
    <c:plotArea>
      <c:layout>
        <c:manualLayout>
          <c:xMode val="edge"/>
          <c:yMode val="edge"/>
          <c:x val="0.02975"/>
          <c:y val="0.20375"/>
          <c:w val="0.93925"/>
          <c:h val="0.746"/>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PROJEKT!$W$66:$W$243</c:f>
              <c:numCache/>
            </c:numRef>
          </c:val>
        </c:ser>
        <c:axId val="59562538"/>
        <c:axId val="49592003"/>
      </c:areaChart>
      <c:catAx>
        <c:axId val="59562538"/>
        <c:scaling>
          <c:orientation val="minMax"/>
        </c:scaling>
        <c:axPos val="b"/>
        <c:delete val="0"/>
        <c:numFmt formatCode="General" sourceLinked="1"/>
        <c:majorTickMark val="in"/>
        <c:minorTickMark val="none"/>
        <c:tickLblPos val="low"/>
        <c:crossAx val="49592003"/>
        <c:crosses val="autoZero"/>
        <c:auto val="0"/>
        <c:lblOffset val="100"/>
        <c:tickLblSkip val="26"/>
        <c:noMultiLvlLbl val="0"/>
      </c:catAx>
      <c:valAx>
        <c:axId val="49592003"/>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59562538"/>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a:t>
            </a:r>
          </a:p>
        </c:rich>
      </c:tx>
      <c:layout/>
      <c:spPr>
        <a:noFill/>
        <a:ln>
          <a:noFill/>
        </a:ln>
      </c:spPr>
    </c:title>
    <c:plotArea>
      <c:layout>
        <c:manualLayout>
          <c:xMode val="edge"/>
          <c:yMode val="edge"/>
          <c:x val="0.03075"/>
          <c:y val="0.20975"/>
          <c:w val="0.9385"/>
          <c:h val="0.7395"/>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PROJEKT!$Y$66:$Y$243</c:f>
              <c:numCache/>
            </c:numRef>
          </c:val>
        </c:ser>
        <c:axId val="28881944"/>
        <c:axId val="32270009"/>
      </c:areaChart>
      <c:catAx>
        <c:axId val="28881944"/>
        <c:scaling>
          <c:orientation val="minMax"/>
        </c:scaling>
        <c:axPos val="b"/>
        <c:delete val="0"/>
        <c:numFmt formatCode="General" sourceLinked="1"/>
        <c:majorTickMark val="in"/>
        <c:minorTickMark val="none"/>
        <c:tickLblPos val="low"/>
        <c:crossAx val="32270009"/>
        <c:crosses val="autoZero"/>
        <c:auto val="0"/>
        <c:lblOffset val="100"/>
        <c:tickLblSkip val="26"/>
        <c:noMultiLvlLbl val="0"/>
      </c:catAx>
      <c:valAx>
        <c:axId val="32270009"/>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28881944"/>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d</a:t>
            </a:r>
          </a:p>
        </c:rich>
      </c:tx>
      <c:layout/>
      <c:spPr>
        <a:noFill/>
        <a:ln>
          <a:noFill/>
        </a:ln>
      </c:spPr>
    </c:title>
    <c:plotArea>
      <c:layout>
        <c:manualLayout>
          <c:xMode val="edge"/>
          <c:yMode val="edge"/>
          <c:x val="0.03475"/>
          <c:y val="0.164"/>
          <c:w val="0.93025"/>
          <c:h val="0.795"/>
        </c:manualLayout>
      </c:layout>
      <c:areaChart>
        <c:grouping val="stacked"/>
        <c:varyColors val="0"/>
        <c:ser>
          <c:idx val="0"/>
          <c:order val="0"/>
          <c:spPr>
            <a:pattFill prst="pct20">
              <a:fgClr>
                <a:srgbClr val="800000"/>
              </a:fgClr>
              <a:bgClr>
                <a:srgbClr val="C0C0FF"/>
              </a:bgClr>
            </a:pattFill>
            <a:ln w="12700">
              <a:solidFill>
                <a:srgbClr val="0000FF"/>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PROJEKT!$AB$66:$AB$243</c:f>
              <c:numCache/>
            </c:numRef>
          </c:val>
        </c:ser>
        <c:axId val="63415030"/>
        <c:axId val="27096543"/>
      </c:areaChart>
      <c:catAx>
        <c:axId val="63415030"/>
        <c:scaling>
          <c:orientation val="minMax"/>
        </c:scaling>
        <c:axPos val="b"/>
        <c:delete val="0"/>
        <c:numFmt formatCode="General" sourceLinked="1"/>
        <c:majorTickMark val="in"/>
        <c:minorTickMark val="none"/>
        <c:tickLblPos val="low"/>
        <c:crossAx val="27096543"/>
        <c:crosses val="autoZero"/>
        <c:auto val="0"/>
        <c:lblOffset val="100"/>
        <c:tickLblSkip val="26"/>
        <c:noMultiLvlLbl val="0"/>
      </c:catAx>
      <c:valAx>
        <c:axId val="2709654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3415030"/>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Mg - Moment gnący</a:t>
            </a:r>
          </a:p>
        </c:rich>
      </c:tx>
      <c:layout/>
      <c:spPr>
        <a:noFill/>
        <a:ln>
          <a:noFill/>
        </a:ln>
      </c:spPr>
    </c:title>
    <c:plotArea>
      <c:layout>
        <c:manualLayout>
          <c:xMode val="edge"/>
          <c:yMode val="edge"/>
          <c:x val="0.008"/>
          <c:y val="0.14575"/>
          <c:w val="0.98275"/>
          <c:h val="0.836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PROJEKT!$Y$66:$Y$243</c:f>
              <c:numCache>
                <c:ptCount val="178"/>
                <c:pt idx="0">
                  <c:v>0</c:v>
                </c:pt>
                <c:pt idx="1">
                  <c:v>2.5477333333333334</c:v>
                </c:pt>
                <c:pt idx="2">
                  <c:v>5.095466666666667</c:v>
                </c:pt>
                <c:pt idx="3">
                  <c:v>7.643200000000001</c:v>
                </c:pt>
                <c:pt idx="4">
                  <c:v>10.190933333333334</c:v>
                </c:pt>
                <c:pt idx="5">
                  <c:v>12.738666666666667</c:v>
                </c:pt>
                <c:pt idx="6">
                  <c:v>15.286400000000002</c:v>
                </c:pt>
                <c:pt idx="7">
                  <c:v>17.834133333333334</c:v>
                </c:pt>
                <c:pt idx="8">
                  <c:v>20.381866666666667</c:v>
                </c:pt>
                <c:pt idx="9">
                  <c:v>22.929600000000004</c:v>
                </c:pt>
                <c:pt idx="10">
                  <c:v>25.477333333333334</c:v>
                </c:pt>
                <c:pt idx="11">
                  <c:v>28.025066666666664</c:v>
                </c:pt>
                <c:pt idx="12">
                  <c:v>30.572800000000004</c:v>
                </c:pt>
                <c:pt idx="13">
                  <c:v>33.12053333333334</c:v>
                </c:pt>
                <c:pt idx="14">
                  <c:v>35.66826666666667</c:v>
                </c:pt>
                <c:pt idx="15">
                  <c:v>38.216</c:v>
                </c:pt>
                <c:pt idx="16">
                  <c:v>40.763733333333334</c:v>
                </c:pt>
                <c:pt idx="17">
                  <c:v>43.311466666666675</c:v>
                </c:pt>
                <c:pt idx="18">
                  <c:v>45.85920000000001</c:v>
                </c:pt>
                <c:pt idx="19">
                  <c:v>48.40693333333334</c:v>
                </c:pt>
                <c:pt idx="20">
                  <c:v>50.95466666666667</c:v>
                </c:pt>
                <c:pt idx="21">
                  <c:v>53.50240000000001</c:v>
                </c:pt>
                <c:pt idx="22">
                  <c:v>56.05013333333333</c:v>
                </c:pt>
                <c:pt idx="23">
                  <c:v>58.59786666666667</c:v>
                </c:pt>
                <c:pt idx="24">
                  <c:v>61.14560000000001</c:v>
                </c:pt>
                <c:pt idx="25">
                  <c:v>63.69333333333334</c:v>
                </c:pt>
                <c:pt idx="26">
                  <c:v>66.24106666666668</c:v>
                </c:pt>
                <c:pt idx="27">
                  <c:v>68.7888</c:v>
                </c:pt>
                <c:pt idx="28">
                  <c:v>71.33653333333334</c:v>
                </c:pt>
                <c:pt idx="29">
                  <c:v>73.88426666666668</c:v>
                </c:pt>
                <c:pt idx="30">
                  <c:v>76.432</c:v>
                </c:pt>
                <c:pt idx="31">
                  <c:v>78.97973333333334</c:v>
                </c:pt>
                <c:pt idx="32">
                  <c:v>81.52746666666667</c:v>
                </c:pt>
                <c:pt idx="33">
                  <c:v>84.07520000000001</c:v>
                </c:pt>
                <c:pt idx="34">
                  <c:v>86.62293333333335</c:v>
                </c:pt>
                <c:pt idx="35">
                  <c:v>89.17066666666668</c:v>
                </c:pt>
                <c:pt idx="36">
                  <c:v>91.71840000000002</c:v>
                </c:pt>
                <c:pt idx="37">
                  <c:v>94.26613333333334</c:v>
                </c:pt>
                <c:pt idx="38">
                  <c:v>96.81386666666668</c:v>
                </c:pt>
                <c:pt idx="39">
                  <c:v>99.36160000000001</c:v>
                </c:pt>
                <c:pt idx="40">
                  <c:v>101.90933333333334</c:v>
                </c:pt>
                <c:pt idx="41">
                  <c:v>104.45706666666668</c:v>
                </c:pt>
                <c:pt idx="42">
                  <c:v>107.00480000000002</c:v>
                </c:pt>
                <c:pt idx="43">
                  <c:v>109.55253333333336</c:v>
                </c:pt>
                <c:pt idx="44">
                  <c:v>112.10026666666666</c:v>
                </c:pt>
                <c:pt idx="45">
                  <c:v>114.648</c:v>
                </c:pt>
                <c:pt idx="46">
                  <c:v>117.19573333333334</c:v>
                </c:pt>
                <c:pt idx="47">
                  <c:v>119.74346666666668</c:v>
                </c:pt>
                <c:pt idx="48">
                  <c:v>122.29120000000002</c:v>
                </c:pt>
                <c:pt idx="49">
                  <c:v>124.83893333333334</c:v>
                </c:pt>
                <c:pt idx="50">
                  <c:v>127.38666666666668</c:v>
                </c:pt>
                <c:pt idx="51">
                  <c:v>127.95514326390071</c:v>
                </c:pt>
                <c:pt idx="52">
                  <c:v>128.54214839854416</c:v>
                </c:pt>
                <c:pt idx="53">
                  <c:v>129.14742942129516</c:v>
                </c:pt>
                <c:pt idx="54">
                  <c:v>129.7707306033628</c:v>
                </c:pt>
                <c:pt idx="55">
                  <c:v>130.41179356377168</c:v>
                </c:pt>
                <c:pt idx="56">
                  <c:v>131.07035768508499</c:v>
                </c:pt>
                <c:pt idx="57">
                  <c:v>131.7461605165764</c:v>
                </c:pt>
                <c:pt idx="58">
                  <c:v>132.4389381640082</c:v>
                </c:pt>
                <c:pt idx="59">
                  <c:v>133.14842566529862</c:v>
                </c:pt>
                <c:pt idx="60">
                  <c:v>133.8743573514816</c:v>
                </c:pt>
                <c:pt idx="61">
                  <c:v>134.61646719247952</c:v>
                </c:pt>
                <c:pt idx="62">
                  <c:v>135.3744891273194</c:v>
                </c:pt>
                <c:pt idx="63">
                  <c:v>136.14815737852865</c:v>
                </c:pt>
                <c:pt idx="64">
                  <c:v>136.93720675054524</c:v>
                </c:pt>
                <c:pt idx="65">
                  <c:v>137.74137291206887</c:v>
                </c:pt>
                <c:pt idx="66">
                  <c:v>138.56039266236493</c:v>
                </c:pt>
                <c:pt idx="67">
                  <c:v>139.39400418161094</c:v>
                </c:pt>
                <c:pt idx="68">
                  <c:v>140.24194726544644</c:v>
                </c:pt>
                <c:pt idx="69">
                  <c:v>141.10396354395093</c:v>
                </c:pt>
                <c:pt idx="70">
                  <c:v>141.97979668533156</c:v>
                </c:pt>
                <c:pt idx="71">
                  <c:v>142.86919258465286</c:v>
                </c:pt>
                <c:pt idx="72">
                  <c:v>143.77189953798427</c:v>
                </c:pt>
                <c:pt idx="73">
                  <c:v>144.6876684023796</c:v>
                </c:pt>
                <c:pt idx="74">
                  <c:v>145.6162527421329</c:v>
                </c:pt>
                <c:pt idx="75">
                  <c:v>146.55740896178398</c:v>
                </c:pt>
                <c:pt idx="76">
                  <c:v>146.55740896178398</c:v>
                </c:pt>
                <c:pt idx="77">
                  <c:v>144.91877335639055</c:v>
                </c:pt>
                <c:pt idx="78">
                  <c:v>143.28326248206702</c:v>
                </c:pt>
                <c:pt idx="79">
                  <c:v>141.65098457385912</c:v>
                </c:pt>
                <c:pt idx="80">
                  <c:v>140.02205269469934</c:v>
                </c:pt>
                <c:pt idx="81">
                  <c:v>138.3965849932193</c:v>
                </c:pt>
                <c:pt idx="82">
                  <c:v>136.77470497715697</c:v>
                </c:pt>
                <c:pt idx="83">
                  <c:v>135.15654180336963</c:v>
                </c:pt>
                <c:pt idx="84">
                  <c:v>133.54223058552836</c:v>
                </c:pt>
                <c:pt idx="85">
                  <c:v>131.93191272063618</c:v>
                </c:pt>
                <c:pt idx="86">
                  <c:v>130.32573623558562</c:v>
                </c:pt>
                <c:pt idx="87">
                  <c:v>128.72385615504234</c:v>
                </c:pt>
                <c:pt idx="88">
                  <c:v>127.12643489202146</c:v>
                </c:pt>
                <c:pt idx="89">
                  <c:v>125.53364266260037</c:v>
                </c:pt>
                <c:pt idx="90">
                  <c:v>123.94565792629545</c:v>
                </c:pt>
                <c:pt idx="91">
                  <c:v>122.36266785371171</c:v>
                </c:pt>
                <c:pt idx="92">
                  <c:v>120.78486882316025</c:v>
                </c:pt>
                <c:pt idx="93">
                  <c:v>119.2124669480211</c:v>
                </c:pt>
                <c:pt idx="94">
                  <c:v>117.64567863671296</c:v>
                </c:pt>
                <c:pt idx="95">
                  <c:v>116.08473118721169</c:v>
                </c:pt>
                <c:pt idx="96">
                  <c:v>114.52986341813379</c:v>
                </c:pt>
                <c:pt idx="97">
                  <c:v>112.98132633847197</c:v>
                </c:pt>
                <c:pt idx="98">
                  <c:v>111.43938385812686</c:v>
                </c:pt>
                <c:pt idx="99">
                  <c:v>109.90431354142711</c:v>
                </c:pt>
                <c:pt idx="100">
                  <c:v>108.37640740585765</c:v>
                </c:pt>
                <c:pt idx="101">
                  <c:v>106.85597276822325</c:v>
                </c:pt>
                <c:pt idx="102">
                  <c:v>106.85597276822325</c:v>
                </c:pt>
                <c:pt idx="103">
                  <c:v>105.43122646464697</c:v>
                </c:pt>
                <c:pt idx="104">
                  <c:v>104.00648016107063</c:v>
                </c:pt>
                <c:pt idx="105">
                  <c:v>102.58173385749433</c:v>
                </c:pt>
                <c:pt idx="106">
                  <c:v>101.15698755391801</c:v>
                </c:pt>
                <c:pt idx="107">
                  <c:v>99.7322412503417</c:v>
                </c:pt>
                <c:pt idx="108">
                  <c:v>98.3074949467654</c:v>
                </c:pt>
                <c:pt idx="109">
                  <c:v>96.88274864318907</c:v>
                </c:pt>
                <c:pt idx="110">
                  <c:v>95.45800233961278</c:v>
                </c:pt>
                <c:pt idx="111">
                  <c:v>94.03325603603646</c:v>
                </c:pt>
                <c:pt idx="112">
                  <c:v>92.60850973246015</c:v>
                </c:pt>
                <c:pt idx="113">
                  <c:v>91.18376342888386</c:v>
                </c:pt>
                <c:pt idx="114">
                  <c:v>89.75901712530754</c:v>
                </c:pt>
                <c:pt idx="115">
                  <c:v>88.33427082173122</c:v>
                </c:pt>
                <c:pt idx="116">
                  <c:v>86.90952451815494</c:v>
                </c:pt>
                <c:pt idx="117">
                  <c:v>85.48477821457861</c:v>
                </c:pt>
                <c:pt idx="118">
                  <c:v>84.06003191100231</c:v>
                </c:pt>
                <c:pt idx="119">
                  <c:v>82.635285607426</c:v>
                </c:pt>
                <c:pt idx="120">
                  <c:v>81.2105393038497</c:v>
                </c:pt>
                <c:pt idx="121">
                  <c:v>79.78579300027336</c:v>
                </c:pt>
                <c:pt idx="122">
                  <c:v>78.36104669669706</c:v>
                </c:pt>
                <c:pt idx="123">
                  <c:v>76.93630039312075</c:v>
                </c:pt>
                <c:pt idx="124">
                  <c:v>75.5115540895444</c:v>
                </c:pt>
                <c:pt idx="125">
                  <c:v>74.0868077859681</c:v>
                </c:pt>
                <c:pt idx="126">
                  <c:v>72.66206148239182</c:v>
                </c:pt>
                <c:pt idx="127">
                  <c:v>71.23731517881554</c:v>
                </c:pt>
                <c:pt idx="128">
                  <c:v>69.81256887523921</c:v>
                </c:pt>
                <c:pt idx="129">
                  <c:v>68.38782257166287</c:v>
                </c:pt>
                <c:pt idx="130">
                  <c:v>66.96307626808658</c:v>
                </c:pt>
                <c:pt idx="131">
                  <c:v>65.53832996451027</c:v>
                </c:pt>
                <c:pt idx="132">
                  <c:v>64.11358366093393</c:v>
                </c:pt>
                <c:pt idx="133">
                  <c:v>62.68883735735761</c:v>
                </c:pt>
                <c:pt idx="134">
                  <c:v>61.26409105378131</c:v>
                </c:pt>
                <c:pt idx="135">
                  <c:v>59.83934475020502</c:v>
                </c:pt>
                <c:pt idx="136">
                  <c:v>58.41459844662869</c:v>
                </c:pt>
                <c:pt idx="137">
                  <c:v>56.98985214305238</c:v>
                </c:pt>
                <c:pt idx="138">
                  <c:v>55.56510583947609</c:v>
                </c:pt>
                <c:pt idx="139">
                  <c:v>54.140359535899755</c:v>
                </c:pt>
                <c:pt idx="140">
                  <c:v>52.71561323232347</c:v>
                </c:pt>
                <c:pt idx="141">
                  <c:v>51.29086692874716</c:v>
                </c:pt>
                <c:pt idx="142">
                  <c:v>49.866120625170815</c:v>
                </c:pt>
                <c:pt idx="143">
                  <c:v>48.44137432159454</c:v>
                </c:pt>
                <c:pt idx="144">
                  <c:v>47.016628018018224</c:v>
                </c:pt>
                <c:pt idx="145">
                  <c:v>45.591881714441946</c:v>
                </c:pt>
                <c:pt idx="146">
                  <c:v>44.167135410865605</c:v>
                </c:pt>
                <c:pt idx="147">
                  <c:v>42.7423891072893</c:v>
                </c:pt>
                <c:pt idx="148">
                  <c:v>41.317642803713014</c:v>
                </c:pt>
                <c:pt idx="149">
                  <c:v>39.892896500136644</c:v>
                </c:pt>
                <c:pt idx="150">
                  <c:v>38.46815019656045</c:v>
                </c:pt>
                <c:pt idx="151">
                  <c:v>37.04340389298414</c:v>
                </c:pt>
                <c:pt idx="152">
                  <c:v>35.6186575894078</c:v>
                </c:pt>
                <c:pt idx="153">
                  <c:v>34.19391128583149</c:v>
                </c:pt>
                <c:pt idx="154">
                  <c:v>32.76916498225518</c:v>
                </c:pt>
                <c:pt idx="155">
                  <c:v>31.344418678678835</c:v>
                </c:pt>
                <c:pt idx="156">
                  <c:v>29.919672375102554</c:v>
                </c:pt>
                <c:pt idx="157">
                  <c:v>28.494926071526244</c:v>
                </c:pt>
                <c:pt idx="158">
                  <c:v>27.070179767949906</c:v>
                </c:pt>
                <c:pt idx="159">
                  <c:v>25.64543346437362</c:v>
                </c:pt>
                <c:pt idx="160">
                  <c:v>24.22068716079731</c:v>
                </c:pt>
                <c:pt idx="161">
                  <c:v>22.795940857221026</c:v>
                </c:pt>
                <c:pt idx="162">
                  <c:v>21.37119455364469</c:v>
                </c:pt>
                <c:pt idx="163">
                  <c:v>19.94644825006838</c:v>
                </c:pt>
                <c:pt idx="164">
                  <c:v>18.521701946492094</c:v>
                </c:pt>
                <c:pt idx="165">
                  <c:v>17.09695564291576</c:v>
                </c:pt>
                <c:pt idx="166">
                  <c:v>15.672209339339448</c:v>
                </c:pt>
                <c:pt idx="167">
                  <c:v>14.24746303576317</c:v>
                </c:pt>
                <c:pt idx="168">
                  <c:v>12.822716732186828</c:v>
                </c:pt>
                <c:pt idx="169">
                  <c:v>11.397970428610462</c:v>
                </c:pt>
                <c:pt idx="170">
                  <c:v>9.97322412503423</c:v>
                </c:pt>
                <c:pt idx="171">
                  <c:v>8.548477821457892</c:v>
                </c:pt>
                <c:pt idx="172">
                  <c:v>7.123731517881525</c:v>
                </c:pt>
                <c:pt idx="173">
                  <c:v>5.698985214305302</c:v>
                </c:pt>
                <c:pt idx="174">
                  <c:v>4.274238910728963</c:v>
                </c:pt>
                <c:pt idx="175">
                  <c:v>2.8494926071526248</c:v>
                </c:pt>
                <c:pt idx="176">
                  <c:v>1.4247463035762846</c:v>
                </c:pt>
                <c:pt idx="177">
                  <c:v>0</c:v>
                </c:pt>
              </c:numCache>
            </c:numRef>
          </c:val>
        </c:ser>
        <c:axId val="47602244"/>
        <c:axId val="38287797"/>
      </c:areaChart>
      <c:catAx>
        <c:axId val="47602244"/>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38287797"/>
        <c:crosses val="autoZero"/>
        <c:auto val="0"/>
        <c:lblOffset val="100"/>
        <c:tickLblSkip val="26"/>
        <c:noMultiLvlLbl val="0"/>
      </c:catAx>
      <c:valAx>
        <c:axId val="38287797"/>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47602244"/>
        <c:crossesAt val="1"/>
        <c:crossBetween val="between"/>
        <c:dispUnits/>
      </c:valAx>
      <c:spPr>
        <a:solidFill>
          <a:srgbClr val="FFFFFF"/>
        </a:solidFill>
        <a:ln w="12700">
          <a:solidFill>
            <a:srgbClr val="808080"/>
          </a:solidFill>
        </a:ln>
      </c:spPr>
    </c:plotArea>
    <c:plotVisOnly val="0"/>
    <c:dispBlanksAs val="gap"/>
    <c:showDLblsOverMax val="0"/>
  </c:chart>
  <c:spPr>
    <a:effectLst>
      <a:outerShdw dist="35921" dir="2700000" algn="br">
        <a:prstClr val="black"/>
      </a:outerShdw>
    </a:effectLst>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t>Mgx - Moment gnący osi X  </a:t>
            </a:r>
          </a:p>
        </c:rich>
      </c:tx>
      <c:layout/>
      <c:spPr>
        <a:noFill/>
        <a:ln>
          <a:noFill/>
        </a:ln>
      </c:spPr>
    </c:title>
    <c:plotArea>
      <c:layout>
        <c:manualLayout>
          <c:xMode val="edge"/>
          <c:yMode val="edge"/>
          <c:x val="0.008"/>
          <c:y val="0.147"/>
          <c:w val="0.98275"/>
          <c:h val="0.8352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PROJEKT!$W$66:$W$243</c:f>
              <c:numCache>
                <c:ptCount val="178"/>
                <c:pt idx="0">
                  <c:v>0</c:v>
                </c:pt>
                <c:pt idx="1">
                  <c:v>-2.2064017887350738</c:v>
                </c:pt>
                <c:pt idx="2">
                  <c:v>-4.4128035774701475</c:v>
                </c:pt>
                <c:pt idx="3">
                  <c:v>-6.619205366205222</c:v>
                </c:pt>
                <c:pt idx="4">
                  <c:v>-8.825607154940295</c:v>
                </c:pt>
                <c:pt idx="5">
                  <c:v>-11.032008943675368</c:v>
                </c:pt>
                <c:pt idx="6">
                  <c:v>-13.238410732410443</c:v>
                </c:pt>
                <c:pt idx="7">
                  <c:v>-15.444812521145517</c:v>
                </c:pt>
                <c:pt idx="8">
                  <c:v>-17.65121430988059</c:v>
                </c:pt>
                <c:pt idx="9">
                  <c:v>-19.857616098615665</c:v>
                </c:pt>
                <c:pt idx="10">
                  <c:v>-22.064017887350737</c:v>
                </c:pt>
                <c:pt idx="11">
                  <c:v>-24.270419676085808</c:v>
                </c:pt>
                <c:pt idx="12">
                  <c:v>-26.476821464820887</c:v>
                </c:pt>
                <c:pt idx="13">
                  <c:v>-28.683223253555962</c:v>
                </c:pt>
                <c:pt idx="14">
                  <c:v>-30.889625042291033</c:v>
                </c:pt>
                <c:pt idx="15">
                  <c:v>-33.09602683102611</c:v>
                </c:pt>
                <c:pt idx="16">
                  <c:v>-35.30242861976118</c:v>
                </c:pt>
                <c:pt idx="17">
                  <c:v>-37.50883040849626</c:v>
                </c:pt>
                <c:pt idx="18">
                  <c:v>-39.71523219723133</c:v>
                </c:pt>
                <c:pt idx="19">
                  <c:v>-41.9216339859664</c:v>
                </c:pt>
                <c:pt idx="20">
                  <c:v>-44.12803577470147</c:v>
                </c:pt>
                <c:pt idx="21">
                  <c:v>-46.33443756343655</c:v>
                </c:pt>
                <c:pt idx="22">
                  <c:v>-48.540839352171616</c:v>
                </c:pt>
                <c:pt idx="23">
                  <c:v>-50.747241140906695</c:v>
                </c:pt>
                <c:pt idx="24">
                  <c:v>-52.953642929641774</c:v>
                </c:pt>
                <c:pt idx="25">
                  <c:v>-55.160044718376845</c:v>
                </c:pt>
                <c:pt idx="26">
                  <c:v>-57.366446507111924</c:v>
                </c:pt>
                <c:pt idx="27">
                  <c:v>-59.57284829584699</c:v>
                </c:pt>
                <c:pt idx="28">
                  <c:v>-61.77925008458207</c:v>
                </c:pt>
                <c:pt idx="29">
                  <c:v>-63.985651873317146</c:v>
                </c:pt>
                <c:pt idx="30">
                  <c:v>-66.19205366205222</c:v>
                </c:pt>
                <c:pt idx="31">
                  <c:v>-68.39845545078728</c:v>
                </c:pt>
                <c:pt idx="32">
                  <c:v>-70.60485723952236</c:v>
                </c:pt>
                <c:pt idx="33">
                  <c:v>-72.81125902825744</c:v>
                </c:pt>
                <c:pt idx="34">
                  <c:v>-75.01766081699252</c:v>
                </c:pt>
                <c:pt idx="35">
                  <c:v>-77.22406260572758</c:v>
                </c:pt>
                <c:pt idx="36">
                  <c:v>-79.43046439446266</c:v>
                </c:pt>
                <c:pt idx="37">
                  <c:v>-81.63686618319772</c:v>
                </c:pt>
                <c:pt idx="38">
                  <c:v>-83.8432679719328</c:v>
                </c:pt>
                <c:pt idx="39">
                  <c:v>-86.04966976066788</c:v>
                </c:pt>
                <c:pt idx="40">
                  <c:v>-88.25607154940295</c:v>
                </c:pt>
                <c:pt idx="41">
                  <c:v>-90.46247333813803</c:v>
                </c:pt>
                <c:pt idx="42">
                  <c:v>-92.6688751268731</c:v>
                </c:pt>
                <c:pt idx="43">
                  <c:v>-94.87527691560818</c:v>
                </c:pt>
                <c:pt idx="44">
                  <c:v>-97.08167870434323</c:v>
                </c:pt>
                <c:pt idx="45">
                  <c:v>-99.28808049307831</c:v>
                </c:pt>
                <c:pt idx="46">
                  <c:v>-101.49448228181339</c:v>
                </c:pt>
                <c:pt idx="47">
                  <c:v>-103.70088407054847</c:v>
                </c:pt>
                <c:pt idx="48">
                  <c:v>-105.90728585928355</c:v>
                </c:pt>
                <c:pt idx="49">
                  <c:v>-108.11368764801861</c:v>
                </c:pt>
                <c:pt idx="50">
                  <c:v>-110.32008943675369</c:v>
                </c:pt>
                <c:pt idx="51">
                  <c:v>-111.57762472125967</c:v>
                </c:pt>
                <c:pt idx="52">
                  <c:v>-112.83516000576564</c:v>
                </c:pt>
                <c:pt idx="53">
                  <c:v>-114.0926952902716</c:v>
                </c:pt>
                <c:pt idx="54">
                  <c:v>-115.35023057477757</c:v>
                </c:pt>
                <c:pt idx="55">
                  <c:v>-116.60776585928355</c:v>
                </c:pt>
                <c:pt idx="56">
                  <c:v>-117.86530114378951</c:v>
                </c:pt>
                <c:pt idx="57">
                  <c:v>-119.12283642829549</c:v>
                </c:pt>
                <c:pt idx="58">
                  <c:v>-120.38037171280146</c:v>
                </c:pt>
                <c:pt idx="59">
                  <c:v>-121.63790699730744</c:v>
                </c:pt>
                <c:pt idx="60">
                  <c:v>-122.8954422818134</c:v>
                </c:pt>
                <c:pt idx="61">
                  <c:v>-124.15297756631936</c:v>
                </c:pt>
                <c:pt idx="62">
                  <c:v>-125.41051285082533</c:v>
                </c:pt>
                <c:pt idx="63">
                  <c:v>-126.6680481353313</c:v>
                </c:pt>
                <c:pt idx="64">
                  <c:v>-127.92558341983727</c:v>
                </c:pt>
                <c:pt idx="65">
                  <c:v>-129.18311870434323</c:v>
                </c:pt>
                <c:pt idx="66">
                  <c:v>-130.44065398884922</c:v>
                </c:pt>
                <c:pt idx="67">
                  <c:v>-131.69818927335518</c:v>
                </c:pt>
                <c:pt idx="68">
                  <c:v>-132.95572455786117</c:v>
                </c:pt>
                <c:pt idx="69">
                  <c:v>-134.21325984236714</c:v>
                </c:pt>
                <c:pt idx="70">
                  <c:v>-135.4707951268731</c:v>
                </c:pt>
                <c:pt idx="71">
                  <c:v>-136.7283304113791</c:v>
                </c:pt>
                <c:pt idx="72">
                  <c:v>-137.98586569588502</c:v>
                </c:pt>
                <c:pt idx="73">
                  <c:v>-139.24340098039102</c:v>
                </c:pt>
                <c:pt idx="74">
                  <c:v>-140.50093626489698</c:v>
                </c:pt>
                <c:pt idx="75">
                  <c:v>-141.75847154940294</c:v>
                </c:pt>
                <c:pt idx="76">
                  <c:v>-141.75847154940294</c:v>
                </c:pt>
                <c:pt idx="77">
                  <c:v>-140.3408868339089</c:v>
                </c:pt>
                <c:pt idx="78">
                  <c:v>-138.92330211841488</c:v>
                </c:pt>
                <c:pt idx="79">
                  <c:v>-137.50571740292088</c:v>
                </c:pt>
                <c:pt idx="80">
                  <c:v>-136.08813268742682</c:v>
                </c:pt>
                <c:pt idx="81">
                  <c:v>-134.6705479719328</c:v>
                </c:pt>
                <c:pt idx="82">
                  <c:v>-133.2529632564388</c:v>
                </c:pt>
                <c:pt idx="83">
                  <c:v>-131.83537854094473</c:v>
                </c:pt>
                <c:pt idx="84">
                  <c:v>-130.41779382545073</c:v>
                </c:pt>
                <c:pt idx="85">
                  <c:v>-129.0002091099567</c:v>
                </c:pt>
                <c:pt idx="86">
                  <c:v>-127.58262439446264</c:v>
                </c:pt>
                <c:pt idx="87">
                  <c:v>-126.16503967896861</c:v>
                </c:pt>
                <c:pt idx="88">
                  <c:v>-124.7474549634746</c:v>
                </c:pt>
                <c:pt idx="89">
                  <c:v>-123.32987024798055</c:v>
                </c:pt>
                <c:pt idx="90">
                  <c:v>-121.91228553248655</c:v>
                </c:pt>
                <c:pt idx="91">
                  <c:v>-120.49470081699252</c:v>
                </c:pt>
                <c:pt idx="92">
                  <c:v>-119.07711610149848</c:v>
                </c:pt>
                <c:pt idx="93">
                  <c:v>-117.65953138600446</c:v>
                </c:pt>
                <c:pt idx="94">
                  <c:v>-116.2419466705104</c:v>
                </c:pt>
                <c:pt idx="95">
                  <c:v>-114.82436195501639</c:v>
                </c:pt>
                <c:pt idx="96">
                  <c:v>-113.40677723952234</c:v>
                </c:pt>
                <c:pt idx="97">
                  <c:v>-111.98919252402834</c:v>
                </c:pt>
                <c:pt idx="98">
                  <c:v>-110.5716078085343</c:v>
                </c:pt>
                <c:pt idx="99">
                  <c:v>-109.15402309304025</c:v>
                </c:pt>
                <c:pt idx="100">
                  <c:v>-107.73643837754625</c:v>
                </c:pt>
                <c:pt idx="101">
                  <c:v>-106.3188536620522</c:v>
                </c:pt>
                <c:pt idx="102">
                  <c:v>-106.3188536620522</c:v>
                </c:pt>
                <c:pt idx="103">
                  <c:v>-104.90126894655819</c:v>
                </c:pt>
                <c:pt idx="104">
                  <c:v>-103.48368423106413</c:v>
                </c:pt>
                <c:pt idx="105">
                  <c:v>-102.06609951557012</c:v>
                </c:pt>
                <c:pt idx="106">
                  <c:v>-100.64851480007607</c:v>
                </c:pt>
                <c:pt idx="107">
                  <c:v>-99.23093008458204</c:v>
                </c:pt>
                <c:pt idx="108">
                  <c:v>-97.81334536908803</c:v>
                </c:pt>
                <c:pt idx="109">
                  <c:v>-96.39576065359398</c:v>
                </c:pt>
                <c:pt idx="110">
                  <c:v>-94.97817593809995</c:v>
                </c:pt>
                <c:pt idx="111">
                  <c:v>-93.56059122260594</c:v>
                </c:pt>
                <c:pt idx="112">
                  <c:v>-92.14300650711189</c:v>
                </c:pt>
                <c:pt idx="113">
                  <c:v>-90.72542179161789</c:v>
                </c:pt>
                <c:pt idx="114">
                  <c:v>-89.30783707612385</c:v>
                </c:pt>
                <c:pt idx="115">
                  <c:v>-87.89025236062982</c:v>
                </c:pt>
                <c:pt idx="116">
                  <c:v>-86.4726676451358</c:v>
                </c:pt>
                <c:pt idx="117">
                  <c:v>-85.05508292964176</c:v>
                </c:pt>
                <c:pt idx="118">
                  <c:v>-83.63749821414775</c:v>
                </c:pt>
                <c:pt idx="119">
                  <c:v>-82.21991349865371</c:v>
                </c:pt>
                <c:pt idx="120">
                  <c:v>-80.8023287831597</c:v>
                </c:pt>
                <c:pt idx="121">
                  <c:v>-79.38474406766564</c:v>
                </c:pt>
                <c:pt idx="122">
                  <c:v>-77.96715935217162</c:v>
                </c:pt>
                <c:pt idx="123">
                  <c:v>-76.54957463667758</c:v>
                </c:pt>
                <c:pt idx="124">
                  <c:v>-75.13198992118352</c:v>
                </c:pt>
                <c:pt idx="125">
                  <c:v>-73.7144052056895</c:v>
                </c:pt>
                <c:pt idx="126">
                  <c:v>-72.2968204901955</c:v>
                </c:pt>
                <c:pt idx="127">
                  <c:v>-70.8792357747015</c:v>
                </c:pt>
                <c:pt idx="128">
                  <c:v>-69.46165105920744</c:v>
                </c:pt>
                <c:pt idx="129">
                  <c:v>-68.04406634371338</c:v>
                </c:pt>
                <c:pt idx="130">
                  <c:v>-66.62648162821938</c:v>
                </c:pt>
                <c:pt idx="131">
                  <c:v>-65.20889691272535</c:v>
                </c:pt>
                <c:pt idx="132">
                  <c:v>-63.79131219723129</c:v>
                </c:pt>
                <c:pt idx="133">
                  <c:v>-62.37372748173726</c:v>
                </c:pt>
                <c:pt idx="134">
                  <c:v>-60.95614276624323</c:v>
                </c:pt>
                <c:pt idx="135">
                  <c:v>-59.53855805074923</c:v>
                </c:pt>
                <c:pt idx="136">
                  <c:v>-58.12097333525517</c:v>
                </c:pt>
                <c:pt idx="137">
                  <c:v>-56.70338861976114</c:v>
                </c:pt>
                <c:pt idx="138">
                  <c:v>-55.28580390426714</c:v>
                </c:pt>
                <c:pt idx="139">
                  <c:v>-53.86821918877308</c:v>
                </c:pt>
                <c:pt idx="140">
                  <c:v>-52.45063447327908</c:v>
                </c:pt>
                <c:pt idx="141">
                  <c:v>-51.03304975778505</c:v>
                </c:pt>
                <c:pt idx="142">
                  <c:v>-49.61546504229099</c:v>
                </c:pt>
                <c:pt idx="143">
                  <c:v>-48.19788032679699</c:v>
                </c:pt>
                <c:pt idx="144">
                  <c:v>-46.78029561130296</c:v>
                </c:pt>
                <c:pt idx="145">
                  <c:v>-45.36271089580896</c:v>
                </c:pt>
                <c:pt idx="146">
                  <c:v>-43.9451261803149</c:v>
                </c:pt>
                <c:pt idx="147">
                  <c:v>-42.52754146482087</c:v>
                </c:pt>
                <c:pt idx="148">
                  <c:v>-41.10995674932687</c:v>
                </c:pt>
                <c:pt idx="149">
                  <c:v>-39.69237203383278</c:v>
                </c:pt>
                <c:pt idx="150">
                  <c:v>-38.274787318338866</c:v>
                </c:pt>
                <c:pt idx="151">
                  <c:v>-36.857202602844836</c:v>
                </c:pt>
                <c:pt idx="152">
                  <c:v>-35.43961788735078</c:v>
                </c:pt>
                <c:pt idx="153">
                  <c:v>-34.02203317185675</c:v>
                </c:pt>
                <c:pt idx="154">
                  <c:v>-32.60444845636272</c:v>
                </c:pt>
                <c:pt idx="155">
                  <c:v>-31.18686374086866</c:v>
                </c:pt>
                <c:pt idx="156">
                  <c:v>-29.769279025374658</c:v>
                </c:pt>
                <c:pt idx="157">
                  <c:v>-28.351694309880628</c:v>
                </c:pt>
                <c:pt idx="158">
                  <c:v>-26.93410959438657</c:v>
                </c:pt>
                <c:pt idx="159">
                  <c:v>-25.516524878892568</c:v>
                </c:pt>
                <c:pt idx="160">
                  <c:v>-24.098940163398538</c:v>
                </c:pt>
                <c:pt idx="161">
                  <c:v>-22.681355447904537</c:v>
                </c:pt>
                <c:pt idx="162">
                  <c:v>-21.263770732410478</c:v>
                </c:pt>
                <c:pt idx="163">
                  <c:v>-19.846186016916448</c:v>
                </c:pt>
                <c:pt idx="164">
                  <c:v>-18.428601301422447</c:v>
                </c:pt>
                <c:pt idx="165">
                  <c:v>-17.011016585928388</c:v>
                </c:pt>
                <c:pt idx="166">
                  <c:v>-15.593431870434358</c:v>
                </c:pt>
                <c:pt idx="167">
                  <c:v>-14.175847154940357</c:v>
                </c:pt>
                <c:pt idx="168">
                  <c:v>-12.758262439446298</c:v>
                </c:pt>
                <c:pt idx="169">
                  <c:v>-11.340677723952211</c:v>
                </c:pt>
                <c:pt idx="170">
                  <c:v>-9.923093008458267</c:v>
                </c:pt>
                <c:pt idx="171">
                  <c:v>-8.505508292964208</c:v>
                </c:pt>
                <c:pt idx="172">
                  <c:v>-7.0879235774701215</c:v>
                </c:pt>
                <c:pt idx="173">
                  <c:v>-5.670338861976177</c:v>
                </c:pt>
                <c:pt idx="174">
                  <c:v>-4.252754146482118</c:v>
                </c:pt>
                <c:pt idx="175">
                  <c:v>-2.83516943098806</c:v>
                </c:pt>
                <c:pt idx="176">
                  <c:v>-1.4175847154940016</c:v>
                </c:pt>
                <c:pt idx="177">
                  <c:v>0</c:v>
                </c:pt>
              </c:numCache>
            </c:numRef>
          </c:val>
        </c:ser>
        <c:axId val="36604290"/>
        <c:axId val="54891451"/>
      </c:areaChart>
      <c:catAx>
        <c:axId val="36604290"/>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54891451"/>
        <c:crosses val="autoZero"/>
        <c:auto val="0"/>
        <c:lblOffset val="100"/>
        <c:tickLblSkip val="26"/>
        <c:noMultiLvlLbl val="0"/>
      </c:catAx>
      <c:valAx>
        <c:axId val="54891451"/>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36604290"/>
        <c:crossesAt val="1"/>
        <c:crossBetween val="between"/>
        <c:dispUnits/>
      </c:valAx>
      <c:spPr>
        <a:solidFill>
          <a:srgbClr val="FFFFFF"/>
        </a:solidFill>
        <a:ln w="12700">
          <a:solidFill>
            <a:srgbClr val="808080"/>
          </a:solidFill>
        </a:ln>
      </c:spPr>
    </c:plotArea>
    <c:plotVisOnly val="0"/>
    <c:dispBlanksAs val="gap"/>
    <c:showDLblsOverMax val="0"/>
  </c:chart>
  <c:spPr>
    <a:effectLst>
      <a:outerShdw dist="35921" dir="2700000" algn="br">
        <a:prstClr val="black"/>
      </a:outerShdw>
    </a:effectLst>
  </c:spPr>
  <c:txPr>
    <a:bodyPr vert="horz" rot="0"/>
    <a:lstStyle/>
    <a:p>
      <a:pPr>
        <a:defRPr lang="en-US" cap="none" sz="2800" b="1"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Ms - Moment skręcający</a:t>
            </a:r>
          </a:p>
        </c:rich>
      </c:tx>
      <c:layout/>
      <c:spPr>
        <a:noFill/>
        <a:ln>
          <a:noFill/>
        </a:ln>
      </c:spPr>
    </c:title>
    <c:plotArea>
      <c:layout>
        <c:manualLayout>
          <c:xMode val="edge"/>
          <c:yMode val="edge"/>
          <c:x val="0.00825"/>
          <c:y val="0.142"/>
          <c:w val="0.98375"/>
          <c:h val="0.8407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PROJEKT!$Z$66:$Z$243</c:f>
              <c:numCache>
                <c:ptCount val="178"/>
                <c:pt idx="0">
                  <c:v>191.08</c:v>
                </c:pt>
                <c:pt idx="1">
                  <c:v>191.08</c:v>
                </c:pt>
                <c:pt idx="2">
                  <c:v>191.08</c:v>
                </c:pt>
                <c:pt idx="3">
                  <c:v>191.08</c:v>
                </c:pt>
                <c:pt idx="4">
                  <c:v>191.08</c:v>
                </c:pt>
                <c:pt idx="5">
                  <c:v>191.08</c:v>
                </c:pt>
                <c:pt idx="6">
                  <c:v>191.08</c:v>
                </c:pt>
                <c:pt idx="7">
                  <c:v>191.08</c:v>
                </c:pt>
                <c:pt idx="8">
                  <c:v>191.08</c:v>
                </c:pt>
                <c:pt idx="9">
                  <c:v>191.08</c:v>
                </c:pt>
                <c:pt idx="10">
                  <c:v>191.08</c:v>
                </c:pt>
                <c:pt idx="11">
                  <c:v>191.08</c:v>
                </c:pt>
                <c:pt idx="12">
                  <c:v>191.08</c:v>
                </c:pt>
                <c:pt idx="13">
                  <c:v>191.08</c:v>
                </c:pt>
                <c:pt idx="14">
                  <c:v>191.08</c:v>
                </c:pt>
                <c:pt idx="15">
                  <c:v>191.08</c:v>
                </c:pt>
                <c:pt idx="16">
                  <c:v>191.08</c:v>
                </c:pt>
                <c:pt idx="17">
                  <c:v>191.08</c:v>
                </c:pt>
                <c:pt idx="18">
                  <c:v>191.08</c:v>
                </c:pt>
                <c:pt idx="19">
                  <c:v>191.08</c:v>
                </c:pt>
                <c:pt idx="20">
                  <c:v>191.08</c:v>
                </c:pt>
                <c:pt idx="21">
                  <c:v>191.08</c:v>
                </c:pt>
                <c:pt idx="22">
                  <c:v>191.08</c:v>
                </c:pt>
                <c:pt idx="23">
                  <c:v>191.08</c:v>
                </c:pt>
                <c:pt idx="24">
                  <c:v>191.08</c:v>
                </c:pt>
                <c:pt idx="25">
                  <c:v>191.08</c:v>
                </c:pt>
                <c:pt idx="26">
                  <c:v>191.08</c:v>
                </c:pt>
                <c:pt idx="27">
                  <c:v>191.08</c:v>
                </c:pt>
                <c:pt idx="28">
                  <c:v>191.08</c:v>
                </c:pt>
                <c:pt idx="29">
                  <c:v>191.08</c:v>
                </c:pt>
                <c:pt idx="30">
                  <c:v>191.08</c:v>
                </c:pt>
                <c:pt idx="31">
                  <c:v>191.08</c:v>
                </c:pt>
                <c:pt idx="32">
                  <c:v>191.08</c:v>
                </c:pt>
                <c:pt idx="33">
                  <c:v>191.08</c:v>
                </c:pt>
                <c:pt idx="34">
                  <c:v>191.08</c:v>
                </c:pt>
                <c:pt idx="35">
                  <c:v>191.08</c:v>
                </c:pt>
                <c:pt idx="36">
                  <c:v>191.08</c:v>
                </c:pt>
                <c:pt idx="37">
                  <c:v>191.08</c:v>
                </c:pt>
                <c:pt idx="38">
                  <c:v>191.08</c:v>
                </c:pt>
                <c:pt idx="39">
                  <c:v>191.08</c:v>
                </c:pt>
                <c:pt idx="40">
                  <c:v>191.08</c:v>
                </c:pt>
                <c:pt idx="41">
                  <c:v>191.08</c:v>
                </c:pt>
                <c:pt idx="42">
                  <c:v>191.08</c:v>
                </c:pt>
                <c:pt idx="43">
                  <c:v>191.08</c:v>
                </c:pt>
                <c:pt idx="44">
                  <c:v>191.08</c:v>
                </c:pt>
                <c:pt idx="45">
                  <c:v>191.08</c:v>
                </c:pt>
                <c:pt idx="46">
                  <c:v>191.08</c:v>
                </c:pt>
                <c:pt idx="47">
                  <c:v>191.08</c:v>
                </c:pt>
                <c:pt idx="48">
                  <c:v>191.08</c:v>
                </c:pt>
                <c:pt idx="49">
                  <c:v>191.08</c:v>
                </c:pt>
                <c:pt idx="50">
                  <c:v>191.08</c:v>
                </c:pt>
                <c:pt idx="51">
                  <c:v>191.08</c:v>
                </c:pt>
                <c:pt idx="52">
                  <c:v>191.08</c:v>
                </c:pt>
                <c:pt idx="53">
                  <c:v>191.08</c:v>
                </c:pt>
                <c:pt idx="54">
                  <c:v>191.08</c:v>
                </c:pt>
                <c:pt idx="55">
                  <c:v>191.08</c:v>
                </c:pt>
                <c:pt idx="56">
                  <c:v>191.08</c:v>
                </c:pt>
                <c:pt idx="57">
                  <c:v>191.08</c:v>
                </c:pt>
                <c:pt idx="58">
                  <c:v>191.08</c:v>
                </c:pt>
                <c:pt idx="59">
                  <c:v>191.08</c:v>
                </c:pt>
                <c:pt idx="60">
                  <c:v>191.08</c:v>
                </c:pt>
                <c:pt idx="61">
                  <c:v>191.08</c:v>
                </c:pt>
                <c:pt idx="62">
                  <c:v>191.08</c:v>
                </c:pt>
                <c:pt idx="63">
                  <c:v>191.08</c:v>
                </c:pt>
                <c:pt idx="64">
                  <c:v>191.08</c:v>
                </c:pt>
                <c:pt idx="65">
                  <c:v>191.08</c:v>
                </c:pt>
                <c:pt idx="66">
                  <c:v>191.08</c:v>
                </c:pt>
                <c:pt idx="67">
                  <c:v>191.08</c:v>
                </c:pt>
                <c:pt idx="68">
                  <c:v>191.08</c:v>
                </c:pt>
                <c:pt idx="69">
                  <c:v>191.08</c:v>
                </c:pt>
                <c:pt idx="70">
                  <c:v>191.08</c:v>
                </c:pt>
                <c:pt idx="71">
                  <c:v>191.08</c:v>
                </c:pt>
                <c:pt idx="72">
                  <c:v>191.08</c:v>
                </c:pt>
                <c:pt idx="73">
                  <c:v>191.08</c:v>
                </c:pt>
                <c:pt idx="74">
                  <c:v>191.08</c:v>
                </c:pt>
                <c:pt idx="75">
                  <c:v>191.08</c:v>
                </c:pt>
                <c:pt idx="76">
                  <c:v>57.324</c:v>
                </c:pt>
                <c:pt idx="77">
                  <c:v>57.324</c:v>
                </c:pt>
                <c:pt idx="78">
                  <c:v>57.324</c:v>
                </c:pt>
                <c:pt idx="79">
                  <c:v>57.324</c:v>
                </c:pt>
                <c:pt idx="80">
                  <c:v>57.324</c:v>
                </c:pt>
                <c:pt idx="81">
                  <c:v>57.324</c:v>
                </c:pt>
                <c:pt idx="82">
                  <c:v>57.324</c:v>
                </c:pt>
                <c:pt idx="83">
                  <c:v>57.324</c:v>
                </c:pt>
                <c:pt idx="84">
                  <c:v>57.324</c:v>
                </c:pt>
                <c:pt idx="85">
                  <c:v>57.324</c:v>
                </c:pt>
                <c:pt idx="86">
                  <c:v>57.324</c:v>
                </c:pt>
                <c:pt idx="87">
                  <c:v>57.324</c:v>
                </c:pt>
                <c:pt idx="88">
                  <c:v>57.324</c:v>
                </c:pt>
                <c:pt idx="89">
                  <c:v>57.324</c:v>
                </c:pt>
                <c:pt idx="90">
                  <c:v>57.324</c:v>
                </c:pt>
                <c:pt idx="91">
                  <c:v>57.324</c:v>
                </c:pt>
                <c:pt idx="92">
                  <c:v>57.324</c:v>
                </c:pt>
                <c:pt idx="93">
                  <c:v>57.324</c:v>
                </c:pt>
                <c:pt idx="94">
                  <c:v>57.324</c:v>
                </c:pt>
                <c:pt idx="95">
                  <c:v>57.324</c:v>
                </c:pt>
                <c:pt idx="96">
                  <c:v>57.324</c:v>
                </c:pt>
                <c:pt idx="97">
                  <c:v>57.324</c:v>
                </c:pt>
                <c:pt idx="98">
                  <c:v>57.324</c:v>
                </c:pt>
                <c:pt idx="99">
                  <c:v>57.324</c:v>
                </c:pt>
                <c:pt idx="100">
                  <c:v>57.324</c:v>
                </c:pt>
                <c:pt idx="101">
                  <c:v>57.324</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ser>
        <c:axId val="48348208"/>
        <c:axId val="59920753"/>
      </c:areaChart>
      <c:catAx>
        <c:axId val="48348208"/>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59920753"/>
        <c:crosses val="autoZero"/>
        <c:auto val="0"/>
        <c:lblOffset val="100"/>
        <c:tickLblSkip val="26"/>
        <c:noMultiLvlLbl val="0"/>
      </c:catAx>
      <c:valAx>
        <c:axId val="59920753"/>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48348208"/>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161925</xdr:rowOff>
    </xdr:from>
    <xdr:to>
      <xdr:col>9</xdr:col>
      <xdr:colOff>57150</xdr:colOff>
      <xdr:row>4</xdr:row>
      <xdr:rowOff>57150</xdr:rowOff>
    </xdr:to>
    <xdr:sp>
      <xdr:nvSpPr>
        <xdr:cNvPr id="1" name="Tekst 2"/>
        <xdr:cNvSpPr txBox="1">
          <a:spLocks noChangeArrowheads="1"/>
        </xdr:cNvSpPr>
      </xdr:nvSpPr>
      <xdr:spPr>
        <a:xfrm>
          <a:off x="190500" y="161925"/>
          <a:ext cx="7496175" cy="657225"/>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2800" b="0" i="0" u="none" baseline="0"/>
            <a:t>Program do obliczania wału maszynowego</a:t>
          </a:r>
        </a:p>
      </xdr:txBody>
    </xdr:sp>
    <xdr:clientData/>
  </xdr:twoCellAnchor>
  <xdr:twoCellAnchor>
    <xdr:from>
      <xdr:col>0</xdr:col>
      <xdr:colOff>209550</xdr:colOff>
      <xdr:row>5</xdr:row>
      <xdr:rowOff>38100</xdr:rowOff>
    </xdr:from>
    <xdr:to>
      <xdr:col>6</xdr:col>
      <xdr:colOff>476250</xdr:colOff>
      <xdr:row>16</xdr:row>
      <xdr:rowOff>66675</xdr:rowOff>
    </xdr:to>
    <xdr:sp>
      <xdr:nvSpPr>
        <xdr:cNvPr id="2" name="Tekst 3"/>
        <xdr:cNvSpPr txBox="1">
          <a:spLocks noChangeArrowheads="1"/>
        </xdr:cNvSpPr>
      </xdr:nvSpPr>
      <xdr:spPr>
        <a:xfrm>
          <a:off x="209550" y="990600"/>
          <a:ext cx="5353050" cy="2124075"/>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1400" b="1" i="0" u="none" baseline="0"/>
            <a:t>1. Schemat (rysunek przedstawiający układ sił na wale)
2. Projekt (część obliczeniowa)
3. Mg (wykres momentów gnących)
4. Mgx (wykres momentów gnących na oś X)
5. Mgy (wykres momentów gnących na oś Y)
6. Ms (wykres momentów skręcających)
7. Mz (wykres momentów zastępczych)
8. Średnica (wykres zmiany wartości średnicy wału)
</a:t>
          </a:r>
        </a:p>
      </xdr:txBody>
    </xdr:sp>
    <xdr:clientData/>
  </xdr:twoCellAnchor>
  <xdr:twoCellAnchor>
    <xdr:from>
      <xdr:col>6</xdr:col>
      <xdr:colOff>666750</xdr:colOff>
      <xdr:row>12</xdr:row>
      <xdr:rowOff>123825</xdr:rowOff>
    </xdr:from>
    <xdr:to>
      <xdr:col>9</xdr:col>
      <xdr:colOff>390525</xdr:colOff>
      <xdr:row>15</xdr:row>
      <xdr:rowOff>85725</xdr:rowOff>
    </xdr:to>
    <xdr:sp>
      <xdr:nvSpPr>
        <xdr:cNvPr id="3" name="Tekst 4"/>
        <xdr:cNvSpPr txBox="1">
          <a:spLocks noChangeArrowheads="1"/>
        </xdr:cNvSpPr>
      </xdr:nvSpPr>
      <xdr:spPr>
        <a:xfrm>
          <a:off x="5753100" y="2409825"/>
          <a:ext cx="2266950" cy="533400"/>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1200" b="1" i="0" u="none" baseline="0">
              <a:latin typeface="Arial CE"/>
              <a:ea typeface="Arial CE"/>
              <a:cs typeface="Arial CE"/>
            </a:rPr>
            <a:t>Wykonał
</a:t>
          </a:r>
          <a:r>
            <a:rPr lang="en-US" cap="none" sz="1400" b="1" i="0" u="none" baseline="0">
              <a:latin typeface="Arial CE"/>
              <a:ea typeface="Arial CE"/>
              <a:cs typeface="Arial CE"/>
            </a:rPr>
            <a:t>mgr  Marek Koczy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9525</xdr:rowOff>
    </xdr:from>
    <xdr:to>
      <xdr:col>9</xdr:col>
      <xdr:colOff>95250</xdr:colOff>
      <xdr:row>11</xdr:row>
      <xdr:rowOff>9525</xdr:rowOff>
    </xdr:to>
    <xdr:sp>
      <xdr:nvSpPr>
        <xdr:cNvPr id="1" name="Line 4"/>
        <xdr:cNvSpPr>
          <a:spLocks/>
        </xdr:cNvSpPr>
      </xdr:nvSpPr>
      <xdr:spPr>
        <a:xfrm>
          <a:off x="104775" y="2162175"/>
          <a:ext cx="7629525" cy="0"/>
        </a:xfrm>
        <a:prstGeom prst="line">
          <a:avLst/>
        </a:prstGeom>
        <a:solidFill>
          <a:srgbClr val="FFFFFF"/>
        </a:solidFill>
        <a:ln w="1" cmpd="sng">
          <a:solidFill>
            <a:srgbClr val="000000"/>
          </a:solidFill>
          <a:prstDash val="lgDashDot"/>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8</xdr:row>
      <xdr:rowOff>0</xdr:rowOff>
    </xdr:from>
    <xdr:to>
      <xdr:col>0</xdr:col>
      <xdr:colOff>828675</xdr:colOff>
      <xdr:row>14</xdr:row>
      <xdr:rowOff>0</xdr:rowOff>
    </xdr:to>
    <xdr:sp>
      <xdr:nvSpPr>
        <xdr:cNvPr id="2" name="Line 5"/>
        <xdr:cNvSpPr>
          <a:spLocks/>
        </xdr:cNvSpPr>
      </xdr:nvSpPr>
      <xdr:spPr>
        <a:xfrm>
          <a:off x="819150" y="1562100"/>
          <a:ext cx="9525" cy="11620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828675</xdr:colOff>
      <xdr:row>7</xdr:row>
      <xdr:rowOff>19050</xdr:rowOff>
    </xdr:from>
    <xdr:to>
      <xdr:col>1</xdr:col>
      <xdr:colOff>95250</xdr:colOff>
      <xdr:row>8</xdr:row>
      <xdr:rowOff>0</xdr:rowOff>
    </xdr:to>
    <xdr:sp>
      <xdr:nvSpPr>
        <xdr:cNvPr id="3" name="Line 6"/>
        <xdr:cNvSpPr>
          <a:spLocks/>
        </xdr:cNvSpPr>
      </xdr:nvSpPr>
      <xdr:spPr>
        <a:xfrm flipV="1">
          <a:off x="828675" y="1371600"/>
          <a:ext cx="123825" cy="1905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733425</xdr:colOff>
      <xdr:row>7</xdr:row>
      <xdr:rowOff>0</xdr:rowOff>
    </xdr:from>
    <xdr:to>
      <xdr:col>0</xdr:col>
      <xdr:colOff>819150</xdr:colOff>
      <xdr:row>8</xdr:row>
      <xdr:rowOff>19050</xdr:rowOff>
    </xdr:to>
    <xdr:sp>
      <xdr:nvSpPr>
        <xdr:cNvPr id="4" name="Line 7"/>
        <xdr:cNvSpPr>
          <a:spLocks/>
        </xdr:cNvSpPr>
      </xdr:nvSpPr>
      <xdr:spPr>
        <a:xfrm flipH="1" flipV="1">
          <a:off x="733425" y="1352550"/>
          <a:ext cx="85725" cy="2286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838200</xdr:colOff>
      <xdr:row>14</xdr:row>
      <xdr:rowOff>28575</xdr:rowOff>
    </xdr:from>
    <xdr:to>
      <xdr:col>1</xdr:col>
      <xdr:colOff>95250</xdr:colOff>
      <xdr:row>15</xdr:row>
      <xdr:rowOff>19050</xdr:rowOff>
    </xdr:to>
    <xdr:sp>
      <xdr:nvSpPr>
        <xdr:cNvPr id="5" name="Line 8"/>
        <xdr:cNvSpPr>
          <a:spLocks/>
        </xdr:cNvSpPr>
      </xdr:nvSpPr>
      <xdr:spPr>
        <a:xfrm>
          <a:off x="838200" y="2752725"/>
          <a:ext cx="114300" cy="20002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695325</xdr:colOff>
      <xdr:row>14</xdr:row>
      <xdr:rowOff>19050</xdr:rowOff>
    </xdr:from>
    <xdr:to>
      <xdr:col>0</xdr:col>
      <xdr:colOff>819150</xdr:colOff>
      <xdr:row>15</xdr:row>
      <xdr:rowOff>19050</xdr:rowOff>
    </xdr:to>
    <xdr:sp>
      <xdr:nvSpPr>
        <xdr:cNvPr id="6" name="Line 9"/>
        <xdr:cNvSpPr>
          <a:spLocks/>
        </xdr:cNvSpPr>
      </xdr:nvSpPr>
      <xdr:spPr>
        <a:xfrm flipH="1">
          <a:off x="695325" y="2743200"/>
          <a:ext cx="114300" cy="2095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733425</xdr:colOff>
      <xdr:row>10</xdr:row>
      <xdr:rowOff>85725</xdr:rowOff>
    </xdr:from>
    <xdr:to>
      <xdr:col>2</xdr:col>
      <xdr:colOff>123825</xdr:colOff>
      <xdr:row>10</xdr:row>
      <xdr:rowOff>85725</xdr:rowOff>
    </xdr:to>
    <xdr:sp>
      <xdr:nvSpPr>
        <xdr:cNvPr id="7" name="Line 10"/>
        <xdr:cNvSpPr>
          <a:spLocks/>
        </xdr:cNvSpPr>
      </xdr:nvSpPr>
      <xdr:spPr>
        <a:xfrm>
          <a:off x="1590675" y="2047875"/>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723900</xdr:colOff>
      <xdr:row>11</xdr:row>
      <xdr:rowOff>114300</xdr:rowOff>
    </xdr:from>
    <xdr:to>
      <xdr:col>2</xdr:col>
      <xdr:colOff>114300</xdr:colOff>
      <xdr:row>11</xdr:row>
      <xdr:rowOff>114300</xdr:rowOff>
    </xdr:to>
    <xdr:sp>
      <xdr:nvSpPr>
        <xdr:cNvPr id="8" name="Line 11"/>
        <xdr:cNvSpPr>
          <a:spLocks/>
        </xdr:cNvSpPr>
      </xdr:nvSpPr>
      <xdr:spPr>
        <a:xfrm>
          <a:off x="1581150" y="2266950"/>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466725</xdr:colOff>
      <xdr:row>8</xdr:row>
      <xdr:rowOff>0</xdr:rowOff>
    </xdr:from>
    <xdr:to>
      <xdr:col>2</xdr:col>
      <xdr:colOff>466725</xdr:colOff>
      <xdr:row>14</xdr:row>
      <xdr:rowOff>0</xdr:rowOff>
    </xdr:to>
    <xdr:sp>
      <xdr:nvSpPr>
        <xdr:cNvPr id="9" name="Line 12"/>
        <xdr:cNvSpPr>
          <a:spLocks/>
        </xdr:cNvSpPr>
      </xdr:nvSpPr>
      <xdr:spPr>
        <a:xfrm>
          <a:off x="2171700" y="1562100"/>
          <a:ext cx="0" cy="11620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352425</xdr:colOff>
      <xdr:row>8</xdr:row>
      <xdr:rowOff>0</xdr:rowOff>
    </xdr:from>
    <xdr:to>
      <xdr:col>2</xdr:col>
      <xdr:colOff>609600</xdr:colOff>
      <xdr:row>8</xdr:row>
      <xdr:rowOff>0</xdr:rowOff>
    </xdr:to>
    <xdr:sp>
      <xdr:nvSpPr>
        <xdr:cNvPr id="10" name="Line 13"/>
        <xdr:cNvSpPr>
          <a:spLocks/>
        </xdr:cNvSpPr>
      </xdr:nvSpPr>
      <xdr:spPr>
        <a:xfrm>
          <a:off x="2057400" y="1562100"/>
          <a:ext cx="2667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361950</xdr:colOff>
      <xdr:row>14</xdr:row>
      <xdr:rowOff>9525</xdr:rowOff>
    </xdr:from>
    <xdr:to>
      <xdr:col>2</xdr:col>
      <xdr:colOff>552450</xdr:colOff>
      <xdr:row>14</xdr:row>
      <xdr:rowOff>9525</xdr:rowOff>
    </xdr:to>
    <xdr:sp>
      <xdr:nvSpPr>
        <xdr:cNvPr id="11" name="Line 14"/>
        <xdr:cNvSpPr>
          <a:spLocks/>
        </xdr:cNvSpPr>
      </xdr:nvSpPr>
      <xdr:spPr>
        <a:xfrm>
          <a:off x="2066925" y="2733675"/>
          <a:ext cx="1905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9525</xdr:colOff>
      <xdr:row>7</xdr:row>
      <xdr:rowOff>123825</xdr:rowOff>
    </xdr:from>
    <xdr:to>
      <xdr:col>4</xdr:col>
      <xdr:colOff>9525</xdr:colOff>
      <xdr:row>15</xdr:row>
      <xdr:rowOff>95250</xdr:rowOff>
    </xdr:to>
    <xdr:sp>
      <xdr:nvSpPr>
        <xdr:cNvPr id="12" name="Line 15"/>
        <xdr:cNvSpPr>
          <a:spLocks/>
        </xdr:cNvSpPr>
      </xdr:nvSpPr>
      <xdr:spPr>
        <a:xfrm>
          <a:off x="3409950" y="1476375"/>
          <a:ext cx="0" cy="155257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752475</xdr:colOff>
      <xdr:row>7</xdr:row>
      <xdr:rowOff>123825</xdr:rowOff>
    </xdr:from>
    <xdr:to>
      <xdr:col>4</xdr:col>
      <xdr:colOff>133350</xdr:colOff>
      <xdr:row>7</xdr:row>
      <xdr:rowOff>123825</xdr:rowOff>
    </xdr:to>
    <xdr:sp>
      <xdr:nvSpPr>
        <xdr:cNvPr id="13" name="Line 16"/>
        <xdr:cNvSpPr>
          <a:spLocks/>
        </xdr:cNvSpPr>
      </xdr:nvSpPr>
      <xdr:spPr>
        <a:xfrm>
          <a:off x="3305175" y="1476375"/>
          <a:ext cx="2286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723900</xdr:colOff>
      <xdr:row>15</xdr:row>
      <xdr:rowOff>95250</xdr:rowOff>
    </xdr:from>
    <xdr:to>
      <xdr:col>4</xdr:col>
      <xdr:colOff>133350</xdr:colOff>
      <xdr:row>15</xdr:row>
      <xdr:rowOff>95250</xdr:rowOff>
    </xdr:to>
    <xdr:sp>
      <xdr:nvSpPr>
        <xdr:cNvPr id="14" name="Line 18"/>
        <xdr:cNvSpPr>
          <a:spLocks/>
        </xdr:cNvSpPr>
      </xdr:nvSpPr>
      <xdr:spPr>
        <a:xfrm>
          <a:off x="3276600" y="3028950"/>
          <a:ext cx="25717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647700</xdr:colOff>
      <xdr:row>10</xdr:row>
      <xdr:rowOff>104775</xdr:rowOff>
    </xdr:from>
    <xdr:to>
      <xdr:col>5</xdr:col>
      <xdr:colOff>38100</xdr:colOff>
      <xdr:row>10</xdr:row>
      <xdr:rowOff>104775</xdr:rowOff>
    </xdr:to>
    <xdr:sp>
      <xdr:nvSpPr>
        <xdr:cNvPr id="15" name="Line 19"/>
        <xdr:cNvSpPr>
          <a:spLocks/>
        </xdr:cNvSpPr>
      </xdr:nvSpPr>
      <xdr:spPr>
        <a:xfrm>
          <a:off x="4048125" y="2066925"/>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647700</xdr:colOff>
      <xdr:row>11</xdr:row>
      <xdr:rowOff>123825</xdr:rowOff>
    </xdr:from>
    <xdr:to>
      <xdr:col>5</xdr:col>
      <xdr:colOff>66675</xdr:colOff>
      <xdr:row>11</xdr:row>
      <xdr:rowOff>123825</xdr:rowOff>
    </xdr:to>
    <xdr:sp>
      <xdr:nvSpPr>
        <xdr:cNvPr id="16" name="Line 20"/>
        <xdr:cNvSpPr>
          <a:spLocks/>
        </xdr:cNvSpPr>
      </xdr:nvSpPr>
      <xdr:spPr>
        <a:xfrm flipV="1">
          <a:off x="4048125" y="2276475"/>
          <a:ext cx="2667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11</xdr:row>
      <xdr:rowOff>0</xdr:rowOff>
    </xdr:from>
    <xdr:to>
      <xdr:col>5</xdr:col>
      <xdr:colOff>123825</xdr:colOff>
      <xdr:row>11</xdr:row>
      <xdr:rowOff>0</xdr:rowOff>
    </xdr:to>
    <xdr:sp>
      <xdr:nvSpPr>
        <xdr:cNvPr id="17" name="Line 21"/>
        <xdr:cNvSpPr>
          <a:spLocks/>
        </xdr:cNvSpPr>
      </xdr:nvSpPr>
      <xdr:spPr>
        <a:xfrm>
          <a:off x="819150" y="2152650"/>
          <a:ext cx="35528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657225</xdr:colOff>
      <xdr:row>4</xdr:row>
      <xdr:rowOff>9525</xdr:rowOff>
    </xdr:from>
    <xdr:to>
      <xdr:col>7</xdr:col>
      <xdr:colOff>666750</xdr:colOff>
      <xdr:row>18</xdr:row>
      <xdr:rowOff>28575</xdr:rowOff>
    </xdr:to>
    <xdr:sp>
      <xdr:nvSpPr>
        <xdr:cNvPr id="18" name="Line 22"/>
        <xdr:cNvSpPr>
          <a:spLocks/>
        </xdr:cNvSpPr>
      </xdr:nvSpPr>
      <xdr:spPr>
        <a:xfrm>
          <a:off x="6600825" y="771525"/>
          <a:ext cx="9525" cy="2781300"/>
        </a:xfrm>
        <a:prstGeom prst="line">
          <a:avLst/>
        </a:prstGeom>
        <a:solidFill>
          <a:srgbClr val="FFFFFF"/>
        </a:solidFill>
        <a:ln w="1" cmpd="sng">
          <a:solidFill>
            <a:srgbClr val="000000"/>
          </a:solidFill>
          <a:prstDash val="lgDashDot"/>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561975</xdr:colOff>
      <xdr:row>7</xdr:row>
      <xdr:rowOff>0</xdr:rowOff>
    </xdr:from>
    <xdr:to>
      <xdr:col>8</xdr:col>
      <xdr:colOff>657225</xdr:colOff>
      <xdr:row>15</xdr:row>
      <xdr:rowOff>47625</xdr:rowOff>
    </xdr:to>
    <xdr:sp>
      <xdr:nvSpPr>
        <xdr:cNvPr id="19" name="Oval 23"/>
        <xdr:cNvSpPr>
          <a:spLocks/>
        </xdr:cNvSpPr>
      </xdr:nvSpPr>
      <xdr:spPr>
        <a:xfrm>
          <a:off x="5657850" y="1352550"/>
          <a:ext cx="1790700" cy="1628775"/>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0</xdr:colOff>
      <xdr:row>8</xdr:row>
      <xdr:rowOff>28575</xdr:rowOff>
    </xdr:from>
    <xdr:to>
      <xdr:col>8</xdr:col>
      <xdr:colOff>390525</xdr:colOff>
      <xdr:row>14</xdr:row>
      <xdr:rowOff>9525</xdr:rowOff>
    </xdr:to>
    <xdr:sp>
      <xdr:nvSpPr>
        <xdr:cNvPr id="20" name="Oval 24"/>
        <xdr:cNvSpPr>
          <a:spLocks/>
        </xdr:cNvSpPr>
      </xdr:nvSpPr>
      <xdr:spPr>
        <a:xfrm>
          <a:off x="5943600" y="1590675"/>
          <a:ext cx="1238250" cy="1143000"/>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676275</xdr:colOff>
      <xdr:row>7</xdr:row>
      <xdr:rowOff>76200</xdr:rowOff>
    </xdr:from>
    <xdr:to>
      <xdr:col>8</xdr:col>
      <xdr:colOff>571500</xdr:colOff>
      <xdr:row>14</xdr:row>
      <xdr:rowOff>190500</xdr:rowOff>
    </xdr:to>
    <xdr:sp>
      <xdr:nvSpPr>
        <xdr:cNvPr id="21" name="Oval 25"/>
        <xdr:cNvSpPr>
          <a:spLocks/>
        </xdr:cNvSpPr>
      </xdr:nvSpPr>
      <xdr:spPr>
        <a:xfrm>
          <a:off x="5772150" y="1428750"/>
          <a:ext cx="1590675" cy="1485900"/>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657225</xdr:colOff>
      <xdr:row>7</xdr:row>
      <xdr:rowOff>123825</xdr:rowOff>
    </xdr:from>
    <xdr:to>
      <xdr:col>8</xdr:col>
      <xdr:colOff>257175</xdr:colOff>
      <xdr:row>11</xdr:row>
      <xdr:rowOff>9525</xdr:rowOff>
    </xdr:to>
    <xdr:sp>
      <xdr:nvSpPr>
        <xdr:cNvPr id="22" name="Line 26"/>
        <xdr:cNvSpPr>
          <a:spLocks/>
        </xdr:cNvSpPr>
      </xdr:nvSpPr>
      <xdr:spPr>
        <a:xfrm flipV="1">
          <a:off x="6600825" y="1476375"/>
          <a:ext cx="447675"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276225</xdr:colOff>
      <xdr:row>8</xdr:row>
      <xdr:rowOff>28575</xdr:rowOff>
    </xdr:from>
    <xdr:to>
      <xdr:col>7</xdr:col>
      <xdr:colOff>666750</xdr:colOff>
      <xdr:row>8</xdr:row>
      <xdr:rowOff>28575</xdr:rowOff>
    </xdr:to>
    <xdr:sp>
      <xdr:nvSpPr>
        <xdr:cNvPr id="23" name="Line 27"/>
        <xdr:cNvSpPr>
          <a:spLocks/>
        </xdr:cNvSpPr>
      </xdr:nvSpPr>
      <xdr:spPr>
        <a:xfrm flipH="1">
          <a:off x="5372100" y="1590675"/>
          <a:ext cx="12382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666750</xdr:colOff>
      <xdr:row>11</xdr:row>
      <xdr:rowOff>9525</xdr:rowOff>
    </xdr:from>
    <xdr:to>
      <xdr:col>6</xdr:col>
      <xdr:colOff>666750</xdr:colOff>
      <xdr:row>16</xdr:row>
      <xdr:rowOff>28575</xdr:rowOff>
    </xdr:to>
    <xdr:sp>
      <xdr:nvSpPr>
        <xdr:cNvPr id="24" name="Line 28"/>
        <xdr:cNvSpPr>
          <a:spLocks/>
        </xdr:cNvSpPr>
      </xdr:nvSpPr>
      <xdr:spPr>
        <a:xfrm>
          <a:off x="5762625" y="2162175"/>
          <a:ext cx="0" cy="990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257175</xdr:colOff>
      <xdr:row>7</xdr:row>
      <xdr:rowOff>114300</xdr:rowOff>
    </xdr:from>
    <xdr:to>
      <xdr:col>9</xdr:col>
      <xdr:colOff>28575</xdr:colOff>
      <xdr:row>9</xdr:row>
      <xdr:rowOff>133350</xdr:rowOff>
    </xdr:to>
    <xdr:sp>
      <xdr:nvSpPr>
        <xdr:cNvPr id="25" name="Line 29"/>
        <xdr:cNvSpPr>
          <a:spLocks/>
        </xdr:cNvSpPr>
      </xdr:nvSpPr>
      <xdr:spPr>
        <a:xfrm>
          <a:off x="7048500" y="1466850"/>
          <a:ext cx="61912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14</xdr:row>
      <xdr:rowOff>38100</xdr:rowOff>
    </xdr:from>
    <xdr:to>
      <xdr:col>0</xdr:col>
      <xdr:colOff>819150</xdr:colOff>
      <xdr:row>17</xdr:row>
      <xdr:rowOff>190500</xdr:rowOff>
    </xdr:to>
    <xdr:sp>
      <xdr:nvSpPr>
        <xdr:cNvPr id="26" name="Line 30"/>
        <xdr:cNvSpPr>
          <a:spLocks/>
        </xdr:cNvSpPr>
      </xdr:nvSpPr>
      <xdr:spPr>
        <a:xfrm>
          <a:off x="819150" y="2762250"/>
          <a:ext cx="0"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838200</xdr:colOff>
      <xdr:row>11</xdr:row>
      <xdr:rowOff>142875</xdr:rowOff>
    </xdr:from>
    <xdr:to>
      <xdr:col>1</xdr:col>
      <xdr:colOff>838200</xdr:colOff>
      <xdr:row>17</xdr:row>
      <xdr:rowOff>200025</xdr:rowOff>
    </xdr:to>
    <xdr:sp>
      <xdr:nvSpPr>
        <xdr:cNvPr id="27" name="Line 31"/>
        <xdr:cNvSpPr>
          <a:spLocks/>
        </xdr:cNvSpPr>
      </xdr:nvSpPr>
      <xdr:spPr>
        <a:xfrm>
          <a:off x="1695450" y="2295525"/>
          <a:ext cx="0" cy="1219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457200</xdr:colOff>
      <xdr:row>14</xdr:row>
      <xdr:rowOff>0</xdr:rowOff>
    </xdr:from>
    <xdr:to>
      <xdr:col>2</xdr:col>
      <xdr:colOff>457200</xdr:colOff>
      <xdr:row>18</xdr:row>
      <xdr:rowOff>28575</xdr:rowOff>
    </xdr:to>
    <xdr:sp>
      <xdr:nvSpPr>
        <xdr:cNvPr id="28" name="Line 32"/>
        <xdr:cNvSpPr>
          <a:spLocks/>
        </xdr:cNvSpPr>
      </xdr:nvSpPr>
      <xdr:spPr>
        <a:xfrm>
          <a:off x="2162175" y="2724150"/>
          <a:ext cx="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15</xdr:row>
      <xdr:rowOff>95250</xdr:rowOff>
    </xdr:from>
    <xdr:to>
      <xdr:col>4</xdr:col>
      <xdr:colOff>0</xdr:colOff>
      <xdr:row>17</xdr:row>
      <xdr:rowOff>200025</xdr:rowOff>
    </xdr:to>
    <xdr:sp>
      <xdr:nvSpPr>
        <xdr:cNvPr id="29" name="Line 33"/>
        <xdr:cNvSpPr>
          <a:spLocks/>
        </xdr:cNvSpPr>
      </xdr:nvSpPr>
      <xdr:spPr>
        <a:xfrm>
          <a:off x="3400425" y="30289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781050</xdr:colOff>
      <xdr:row>11</xdr:row>
      <xdr:rowOff>142875</xdr:rowOff>
    </xdr:from>
    <xdr:to>
      <xdr:col>4</xdr:col>
      <xdr:colOff>781050</xdr:colOff>
      <xdr:row>17</xdr:row>
      <xdr:rowOff>190500</xdr:rowOff>
    </xdr:to>
    <xdr:sp>
      <xdr:nvSpPr>
        <xdr:cNvPr id="30" name="Line 34"/>
        <xdr:cNvSpPr>
          <a:spLocks/>
        </xdr:cNvSpPr>
      </xdr:nvSpPr>
      <xdr:spPr>
        <a:xfrm>
          <a:off x="4181475" y="2295525"/>
          <a:ext cx="0" cy="1209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17</xdr:row>
      <xdr:rowOff>190500</xdr:rowOff>
    </xdr:from>
    <xdr:to>
      <xdr:col>1</xdr:col>
      <xdr:colOff>828675</xdr:colOff>
      <xdr:row>17</xdr:row>
      <xdr:rowOff>190500</xdr:rowOff>
    </xdr:to>
    <xdr:sp>
      <xdr:nvSpPr>
        <xdr:cNvPr id="31" name="Line 36"/>
        <xdr:cNvSpPr>
          <a:spLocks/>
        </xdr:cNvSpPr>
      </xdr:nvSpPr>
      <xdr:spPr>
        <a:xfrm>
          <a:off x="819150" y="3505200"/>
          <a:ext cx="86677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9525</xdr:colOff>
      <xdr:row>17</xdr:row>
      <xdr:rowOff>190500</xdr:rowOff>
    </xdr:from>
    <xdr:to>
      <xdr:col>2</xdr:col>
      <xdr:colOff>447675</xdr:colOff>
      <xdr:row>17</xdr:row>
      <xdr:rowOff>190500</xdr:rowOff>
    </xdr:to>
    <xdr:sp>
      <xdr:nvSpPr>
        <xdr:cNvPr id="32" name="Line 37"/>
        <xdr:cNvSpPr>
          <a:spLocks/>
        </xdr:cNvSpPr>
      </xdr:nvSpPr>
      <xdr:spPr>
        <a:xfrm>
          <a:off x="1714500" y="3505200"/>
          <a:ext cx="438150"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447675</xdr:colOff>
      <xdr:row>17</xdr:row>
      <xdr:rowOff>190500</xdr:rowOff>
    </xdr:from>
    <xdr:to>
      <xdr:col>4</xdr:col>
      <xdr:colOff>0</xdr:colOff>
      <xdr:row>17</xdr:row>
      <xdr:rowOff>190500</xdr:rowOff>
    </xdr:to>
    <xdr:sp>
      <xdr:nvSpPr>
        <xdr:cNvPr id="33" name="Line 38"/>
        <xdr:cNvSpPr>
          <a:spLocks/>
        </xdr:cNvSpPr>
      </xdr:nvSpPr>
      <xdr:spPr>
        <a:xfrm>
          <a:off x="2152650" y="3505200"/>
          <a:ext cx="124777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9525</xdr:colOff>
      <xdr:row>17</xdr:row>
      <xdr:rowOff>190500</xdr:rowOff>
    </xdr:from>
    <xdr:to>
      <xdr:col>4</xdr:col>
      <xdr:colOff>771525</xdr:colOff>
      <xdr:row>17</xdr:row>
      <xdr:rowOff>190500</xdr:rowOff>
    </xdr:to>
    <xdr:sp>
      <xdr:nvSpPr>
        <xdr:cNvPr id="34" name="Line 39"/>
        <xdr:cNvSpPr>
          <a:spLocks/>
        </xdr:cNvSpPr>
      </xdr:nvSpPr>
      <xdr:spPr>
        <a:xfrm>
          <a:off x="3409950" y="3505200"/>
          <a:ext cx="762000"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91</xdr:row>
      <xdr:rowOff>47625</xdr:rowOff>
    </xdr:from>
    <xdr:to>
      <xdr:col>17</xdr:col>
      <xdr:colOff>57150</xdr:colOff>
      <xdr:row>102</xdr:row>
      <xdr:rowOff>19050</xdr:rowOff>
    </xdr:to>
    <xdr:graphicFrame>
      <xdr:nvGraphicFramePr>
        <xdr:cNvPr id="1" name="Chart 2"/>
        <xdr:cNvGraphicFramePr/>
      </xdr:nvGraphicFramePr>
      <xdr:xfrm>
        <a:off x="16240125" y="8001000"/>
        <a:ext cx="3495675" cy="2438400"/>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80</xdr:row>
      <xdr:rowOff>47625</xdr:rowOff>
    </xdr:from>
    <xdr:to>
      <xdr:col>17</xdr:col>
      <xdr:colOff>3400425</xdr:colOff>
      <xdr:row>89</xdr:row>
      <xdr:rowOff>47625</xdr:rowOff>
    </xdr:to>
    <xdr:graphicFrame>
      <xdr:nvGraphicFramePr>
        <xdr:cNvPr id="2" name="Chart 3"/>
        <xdr:cNvGraphicFramePr/>
      </xdr:nvGraphicFramePr>
      <xdr:xfrm>
        <a:off x="19916775" y="5591175"/>
        <a:ext cx="3162300" cy="1971675"/>
      </xdr:xfrm>
      <a:graphic>
        <a:graphicData uri="http://schemas.openxmlformats.org/drawingml/2006/chart">
          <c:chart xmlns:c="http://schemas.openxmlformats.org/drawingml/2006/chart" r:id="rId2"/>
        </a:graphicData>
      </a:graphic>
    </xdr:graphicFrame>
    <xdr:clientData/>
  </xdr:twoCellAnchor>
  <xdr:twoCellAnchor>
    <xdr:from>
      <xdr:col>17</xdr:col>
      <xdr:colOff>238125</xdr:colOff>
      <xdr:row>69</xdr:row>
      <xdr:rowOff>66675</xdr:rowOff>
    </xdr:from>
    <xdr:to>
      <xdr:col>17</xdr:col>
      <xdr:colOff>3457575</xdr:colOff>
      <xdr:row>78</xdr:row>
      <xdr:rowOff>66675</xdr:rowOff>
    </xdr:to>
    <xdr:graphicFrame>
      <xdr:nvGraphicFramePr>
        <xdr:cNvPr id="3" name="Chart 4"/>
        <xdr:cNvGraphicFramePr/>
      </xdr:nvGraphicFramePr>
      <xdr:xfrm>
        <a:off x="19916775" y="3143250"/>
        <a:ext cx="3219450" cy="2028825"/>
      </xdr:xfrm>
      <a:graphic>
        <a:graphicData uri="http://schemas.openxmlformats.org/drawingml/2006/chart">
          <c:chart xmlns:c="http://schemas.openxmlformats.org/drawingml/2006/chart" r:id="rId3"/>
        </a:graphicData>
      </a:graphic>
    </xdr:graphicFrame>
    <xdr:clientData/>
  </xdr:twoCellAnchor>
  <xdr:twoCellAnchor>
    <xdr:from>
      <xdr:col>16</xdr:col>
      <xdr:colOff>133350</xdr:colOff>
      <xdr:row>69</xdr:row>
      <xdr:rowOff>76200</xdr:rowOff>
    </xdr:from>
    <xdr:to>
      <xdr:col>17</xdr:col>
      <xdr:colOff>76200</xdr:colOff>
      <xdr:row>78</xdr:row>
      <xdr:rowOff>76200</xdr:rowOff>
    </xdr:to>
    <xdr:graphicFrame>
      <xdr:nvGraphicFramePr>
        <xdr:cNvPr id="4" name="Chart 5"/>
        <xdr:cNvGraphicFramePr/>
      </xdr:nvGraphicFramePr>
      <xdr:xfrm>
        <a:off x="16116300" y="3152775"/>
        <a:ext cx="3638550" cy="2028825"/>
      </xdr:xfrm>
      <a:graphic>
        <a:graphicData uri="http://schemas.openxmlformats.org/drawingml/2006/chart">
          <c:chart xmlns:c="http://schemas.openxmlformats.org/drawingml/2006/chart" r:id="rId4"/>
        </a:graphicData>
      </a:graphic>
    </xdr:graphicFrame>
    <xdr:clientData/>
  </xdr:twoCellAnchor>
  <xdr:twoCellAnchor>
    <xdr:from>
      <xdr:col>16</xdr:col>
      <xdr:colOff>190500</xdr:colOff>
      <xdr:row>80</xdr:row>
      <xdr:rowOff>47625</xdr:rowOff>
    </xdr:from>
    <xdr:to>
      <xdr:col>17</xdr:col>
      <xdr:colOff>28575</xdr:colOff>
      <xdr:row>89</xdr:row>
      <xdr:rowOff>47625</xdr:rowOff>
    </xdr:to>
    <xdr:graphicFrame>
      <xdr:nvGraphicFramePr>
        <xdr:cNvPr id="5" name="Chart 6"/>
        <xdr:cNvGraphicFramePr/>
      </xdr:nvGraphicFramePr>
      <xdr:xfrm>
        <a:off x="16173450" y="5591175"/>
        <a:ext cx="3533775" cy="1971675"/>
      </xdr:xfrm>
      <a:graphic>
        <a:graphicData uri="http://schemas.openxmlformats.org/drawingml/2006/chart">
          <c:chart xmlns:c="http://schemas.openxmlformats.org/drawingml/2006/chart" r:id="rId5"/>
        </a:graphicData>
      </a:graphic>
    </xdr:graphicFrame>
    <xdr:clientData/>
  </xdr:twoCellAnchor>
  <xdr:twoCellAnchor>
    <xdr:from>
      <xdr:col>17</xdr:col>
      <xdr:colOff>238125</xdr:colOff>
      <xdr:row>91</xdr:row>
      <xdr:rowOff>47625</xdr:rowOff>
    </xdr:from>
    <xdr:to>
      <xdr:col>17</xdr:col>
      <xdr:colOff>3381375</xdr:colOff>
      <xdr:row>102</xdr:row>
      <xdr:rowOff>9525</xdr:rowOff>
    </xdr:to>
    <xdr:graphicFrame>
      <xdr:nvGraphicFramePr>
        <xdr:cNvPr id="6" name="Chart 7"/>
        <xdr:cNvGraphicFramePr/>
      </xdr:nvGraphicFramePr>
      <xdr:xfrm>
        <a:off x="19916775" y="8001000"/>
        <a:ext cx="3133725" cy="2428875"/>
      </xdr:xfrm>
      <a:graphic>
        <a:graphicData uri="http://schemas.openxmlformats.org/drawingml/2006/chart">
          <c:chart xmlns:c="http://schemas.openxmlformats.org/drawingml/2006/chart" r:id="rId6"/>
        </a:graphicData>
      </a:graphic>
    </xdr:graphicFrame>
    <xdr:clientData/>
  </xdr:twoCellAnchor>
  <xdr:twoCellAnchor>
    <xdr:from>
      <xdr:col>2</xdr:col>
      <xdr:colOff>228600</xdr:colOff>
      <xdr:row>5</xdr:row>
      <xdr:rowOff>0</xdr:rowOff>
    </xdr:from>
    <xdr:to>
      <xdr:col>6</xdr:col>
      <xdr:colOff>838200</xdr:colOff>
      <xdr:row>7</xdr:row>
      <xdr:rowOff>9525</xdr:rowOff>
    </xdr:to>
    <xdr:sp>
      <xdr:nvSpPr>
        <xdr:cNvPr id="7" name="Tekst 8"/>
        <xdr:cNvSpPr txBox="1">
          <a:spLocks noChangeArrowheads="1"/>
        </xdr:cNvSpPr>
      </xdr:nvSpPr>
      <xdr:spPr>
        <a:xfrm>
          <a:off x="1714500" y="1352550"/>
          <a:ext cx="6438900" cy="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9525</xdr:colOff>
      <xdr:row>64</xdr:row>
      <xdr:rowOff>0</xdr:rowOff>
    </xdr:from>
    <xdr:to>
      <xdr:col>5</xdr:col>
      <xdr:colOff>447675</xdr:colOff>
      <xdr:row>64</xdr:row>
      <xdr:rowOff>304800</xdr:rowOff>
    </xdr:to>
    <xdr:sp>
      <xdr:nvSpPr>
        <xdr:cNvPr id="8" name="Tekst 9"/>
        <xdr:cNvSpPr txBox="1">
          <a:spLocks noChangeArrowheads="1"/>
        </xdr:cNvSpPr>
      </xdr:nvSpPr>
      <xdr:spPr>
        <a:xfrm>
          <a:off x="5381625" y="1781175"/>
          <a:ext cx="1924050" cy="304800"/>
        </a:xfrm>
        <a:prstGeom prst="rect">
          <a:avLst/>
        </a:prstGeom>
        <a:solidFill>
          <a:srgbClr val="E3E3E3"/>
        </a:solidFill>
        <a:ln w="9525" cmpd="sng">
          <a:solidFill>
            <a:srgbClr val="000000"/>
          </a:solidFill>
          <a:headEnd type="none"/>
          <a:tailEnd type="none"/>
        </a:ln>
      </xdr:spPr>
      <xdr:txBody>
        <a:bodyPr vertOverflow="clip" wrap="square"/>
        <a:p>
          <a:pPr algn="ctr">
            <a:defRPr/>
          </a:pPr>
          <a:r>
            <a:rPr lang="en-US" cap="none" sz="1800" b="1" i="0" u="none" baseline="0"/>
            <a:t>WYNIK</a:t>
          </a:r>
        </a:p>
      </xdr:txBody>
    </xdr:sp>
    <xdr:clientData/>
  </xdr:twoCellAnchor>
  <xdr:twoCellAnchor>
    <xdr:from>
      <xdr:col>1</xdr:col>
      <xdr:colOff>9525</xdr:colOff>
      <xdr:row>2</xdr:row>
      <xdr:rowOff>0</xdr:rowOff>
    </xdr:from>
    <xdr:to>
      <xdr:col>4</xdr:col>
      <xdr:colOff>733425</xdr:colOff>
      <xdr:row>3</xdr:row>
      <xdr:rowOff>0</xdr:rowOff>
    </xdr:to>
    <xdr:sp>
      <xdr:nvSpPr>
        <xdr:cNvPr id="9" name="Rectangle 10"/>
        <xdr:cNvSpPr>
          <a:spLocks/>
        </xdr:cNvSpPr>
      </xdr:nvSpPr>
      <xdr:spPr>
        <a:xfrm>
          <a:off x="371475" y="390525"/>
          <a:ext cx="6477000" cy="762000"/>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4</xdr:row>
      <xdr:rowOff>0</xdr:rowOff>
    </xdr:from>
    <xdr:to>
      <xdr:col>4</xdr:col>
      <xdr:colOff>0</xdr:colOff>
      <xdr:row>5</xdr:row>
      <xdr:rowOff>0</xdr:rowOff>
    </xdr:to>
    <xdr:sp>
      <xdr:nvSpPr>
        <xdr:cNvPr id="10" name="Rectangle 11"/>
        <xdr:cNvSpPr>
          <a:spLocks/>
        </xdr:cNvSpPr>
      </xdr:nvSpPr>
      <xdr:spPr>
        <a:xfrm>
          <a:off x="5372100" y="1352550"/>
          <a:ext cx="74295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2362200</xdr:colOff>
      <xdr:row>64</xdr:row>
      <xdr:rowOff>257175</xdr:rowOff>
    </xdr:from>
    <xdr:to>
      <xdr:col>17</xdr:col>
      <xdr:colOff>3619500</xdr:colOff>
      <xdr:row>68</xdr:row>
      <xdr:rowOff>142875</xdr:rowOff>
    </xdr:to>
    <xdr:sp>
      <xdr:nvSpPr>
        <xdr:cNvPr id="11" name="Rectangle 12"/>
        <xdr:cNvSpPr>
          <a:spLocks/>
        </xdr:cNvSpPr>
      </xdr:nvSpPr>
      <xdr:spPr>
        <a:xfrm>
          <a:off x="22040850" y="2038350"/>
          <a:ext cx="1257300" cy="962025"/>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19050</xdr:colOff>
      <xdr:row>28</xdr:row>
      <xdr:rowOff>133350</xdr:rowOff>
    </xdr:to>
    <xdr:graphicFrame>
      <xdr:nvGraphicFramePr>
        <xdr:cNvPr id="1" name="Chart 1"/>
        <xdr:cNvGraphicFramePr/>
      </xdr:nvGraphicFramePr>
      <xdr:xfrm>
        <a:off x="0" y="0"/>
        <a:ext cx="12592050" cy="5467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819150</xdr:colOff>
      <xdr:row>28</xdr:row>
      <xdr:rowOff>133350</xdr:rowOff>
    </xdr:to>
    <xdr:graphicFrame>
      <xdr:nvGraphicFramePr>
        <xdr:cNvPr id="1" name="Chart 1"/>
        <xdr:cNvGraphicFramePr/>
      </xdr:nvGraphicFramePr>
      <xdr:xfrm>
        <a:off x="0" y="0"/>
        <a:ext cx="12553950"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800100</xdr:colOff>
      <xdr:row>29</xdr:row>
      <xdr:rowOff>95250</xdr:rowOff>
    </xdr:to>
    <xdr:graphicFrame>
      <xdr:nvGraphicFramePr>
        <xdr:cNvPr id="1" name="Chart 1"/>
        <xdr:cNvGraphicFramePr/>
      </xdr:nvGraphicFramePr>
      <xdr:xfrm>
        <a:off x="38100" y="0"/>
        <a:ext cx="12496800" cy="5619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15</xdr:col>
      <xdr:colOff>19050</xdr:colOff>
      <xdr:row>28</xdr:row>
      <xdr:rowOff>133350</xdr:rowOff>
    </xdr:to>
    <xdr:graphicFrame>
      <xdr:nvGraphicFramePr>
        <xdr:cNvPr id="1" name="Chart 1"/>
        <xdr:cNvGraphicFramePr/>
      </xdr:nvGraphicFramePr>
      <xdr:xfrm>
        <a:off x="38100" y="0"/>
        <a:ext cx="12553950" cy="5467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800100</xdr:colOff>
      <xdr:row>28</xdr:row>
      <xdr:rowOff>114300</xdr:rowOff>
    </xdr:to>
    <xdr:graphicFrame>
      <xdr:nvGraphicFramePr>
        <xdr:cNvPr id="1" name="Chart 1"/>
        <xdr:cNvGraphicFramePr/>
      </xdr:nvGraphicFramePr>
      <xdr:xfrm>
        <a:off x="0" y="0"/>
        <a:ext cx="12534900" cy="5448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14</xdr:col>
      <xdr:colOff>800100</xdr:colOff>
      <xdr:row>28</xdr:row>
      <xdr:rowOff>152400</xdr:rowOff>
    </xdr:to>
    <xdr:graphicFrame>
      <xdr:nvGraphicFramePr>
        <xdr:cNvPr id="1" name="Chart 1"/>
        <xdr:cNvGraphicFramePr/>
      </xdr:nvGraphicFramePr>
      <xdr:xfrm>
        <a:off x="19050" y="38100"/>
        <a:ext cx="12515850"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J19"/>
  <sheetViews>
    <sheetView tabSelected="1" zoomScale="75" zoomScaleNormal="75" workbookViewId="0" topLeftCell="A1">
      <selection activeCell="D19" sqref="D19"/>
    </sheetView>
  </sheetViews>
  <sheetFormatPr defaultColWidth="8.796875" defaultRowHeight="15"/>
  <cols>
    <col min="1" max="16384" width="8.8984375" style="34" customWidth="1"/>
  </cols>
  <sheetData>
    <row r="1" spans="1:10" ht="15">
      <c r="A1" s="77"/>
      <c r="B1" s="77"/>
      <c r="C1" s="77"/>
      <c r="D1" s="77"/>
      <c r="E1" s="77"/>
      <c r="F1" s="77"/>
      <c r="G1" s="77"/>
      <c r="H1" s="77"/>
      <c r="I1" s="77"/>
      <c r="J1" s="77"/>
    </row>
    <row r="2" spans="1:10" ht="15">
      <c r="A2" s="77"/>
      <c r="B2" s="77"/>
      <c r="C2" s="77"/>
      <c r="D2" s="77"/>
      <c r="E2" s="77"/>
      <c r="F2" s="77"/>
      <c r="G2" s="77"/>
      <c r="H2" s="77"/>
      <c r="I2" s="77"/>
      <c r="J2" s="77"/>
    </row>
    <row r="3" spans="1:10" ht="15">
      <c r="A3" s="77"/>
      <c r="B3" s="77"/>
      <c r="C3" s="77"/>
      <c r="D3" s="77"/>
      <c r="E3" s="77"/>
      <c r="F3" s="77"/>
      <c r="G3" s="77"/>
      <c r="H3" s="77"/>
      <c r="I3" s="77"/>
      <c r="J3" s="77"/>
    </row>
    <row r="4" spans="1:10" ht="15">
      <c r="A4" s="77"/>
      <c r="B4" s="77"/>
      <c r="C4" s="77"/>
      <c r="D4" s="77"/>
      <c r="E4" s="77"/>
      <c r="F4" s="77"/>
      <c r="G4" s="77"/>
      <c r="H4" s="77"/>
      <c r="I4" s="77"/>
      <c r="J4" s="77"/>
    </row>
    <row r="5" spans="1:10" ht="15">
      <c r="A5" s="77"/>
      <c r="B5" s="77"/>
      <c r="C5" s="77"/>
      <c r="D5" s="77"/>
      <c r="E5" s="77"/>
      <c r="F5" s="77"/>
      <c r="G5" s="77"/>
      <c r="H5" s="77"/>
      <c r="I5" s="77"/>
      <c r="J5" s="77"/>
    </row>
    <row r="6" spans="1:10" ht="15">
      <c r="A6" s="77"/>
      <c r="B6" s="77"/>
      <c r="C6" s="77"/>
      <c r="D6" s="77"/>
      <c r="E6" s="77"/>
      <c r="F6" s="77"/>
      <c r="G6" s="77"/>
      <c r="H6" s="77"/>
      <c r="I6" s="77"/>
      <c r="J6" s="77"/>
    </row>
    <row r="7" spans="1:10" ht="15">
      <c r="A7" s="77"/>
      <c r="B7" s="77"/>
      <c r="C7" s="77"/>
      <c r="D7" s="77"/>
      <c r="E7" s="77"/>
      <c r="F7" s="77"/>
      <c r="G7" s="77"/>
      <c r="H7" s="77"/>
      <c r="I7" s="77"/>
      <c r="J7" s="77"/>
    </row>
    <row r="8" spans="1:10" ht="15">
      <c r="A8" s="77"/>
      <c r="B8" s="77"/>
      <c r="C8" s="77"/>
      <c r="D8" s="77"/>
      <c r="E8" s="77"/>
      <c r="F8" s="77"/>
      <c r="G8" s="77"/>
      <c r="H8" s="77"/>
      <c r="I8" s="77"/>
      <c r="J8" s="77"/>
    </row>
    <row r="9" spans="1:10" ht="15">
      <c r="A9" s="77"/>
      <c r="B9" s="77"/>
      <c r="C9" s="77"/>
      <c r="D9" s="77"/>
      <c r="E9" s="77"/>
      <c r="F9" s="77"/>
      <c r="G9" s="77"/>
      <c r="H9" s="77"/>
      <c r="I9" s="77"/>
      <c r="J9" s="77"/>
    </row>
    <row r="10" spans="1:10" ht="15">
      <c r="A10" s="77"/>
      <c r="B10" s="77"/>
      <c r="C10" s="77"/>
      <c r="D10" s="77"/>
      <c r="E10" s="77"/>
      <c r="F10" s="77"/>
      <c r="G10" s="77"/>
      <c r="H10" s="77"/>
      <c r="I10" s="77"/>
      <c r="J10" s="77"/>
    </row>
    <row r="11" spans="1:10" ht="15">
      <c r="A11" s="77"/>
      <c r="B11" s="77"/>
      <c r="C11" s="77"/>
      <c r="D11" s="77"/>
      <c r="E11" s="77"/>
      <c r="F11" s="77"/>
      <c r="G11" s="77"/>
      <c r="H11" s="77"/>
      <c r="I11" s="77"/>
      <c r="J11" s="77"/>
    </row>
    <row r="12" spans="1:10" ht="15">
      <c r="A12" s="77"/>
      <c r="B12" s="77"/>
      <c r="C12" s="77"/>
      <c r="D12" s="77"/>
      <c r="E12" s="77"/>
      <c r="F12" s="77"/>
      <c r="G12" s="77"/>
      <c r="H12" s="77"/>
      <c r="I12" s="77"/>
      <c r="J12" s="77"/>
    </row>
    <row r="13" spans="1:10" ht="15">
      <c r="A13" s="77"/>
      <c r="B13" s="77"/>
      <c r="C13" s="77"/>
      <c r="D13" s="77"/>
      <c r="E13" s="77"/>
      <c r="F13" s="77"/>
      <c r="G13" s="77"/>
      <c r="H13" s="77"/>
      <c r="I13" s="77"/>
      <c r="J13" s="77"/>
    </row>
    <row r="14" spans="1:10" ht="15">
      <c r="A14" s="77"/>
      <c r="B14" s="77"/>
      <c r="C14" s="77"/>
      <c r="D14" s="77"/>
      <c r="E14" s="77"/>
      <c r="F14" s="77"/>
      <c r="G14" s="77"/>
      <c r="H14" s="77"/>
      <c r="I14" s="77"/>
      <c r="J14" s="77"/>
    </row>
    <row r="15" spans="1:10" ht="15">
      <c r="A15" s="77"/>
      <c r="B15" s="77"/>
      <c r="C15" s="77"/>
      <c r="D15" s="77"/>
      <c r="E15" s="77"/>
      <c r="F15" s="77"/>
      <c r="G15" s="77"/>
      <c r="H15" s="77"/>
      <c r="I15" s="77"/>
      <c r="J15" s="77"/>
    </row>
    <row r="16" spans="1:10" ht="15">
      <c r="A16" s="77"/>
      <c r="B16" s="77"/>
      <c r="C16" s="77"/>
      <c r="D16" s="77"/>
      <c r="E16" s="77"/>
      <c r="F16" s="77"/>
      <c r="G16" s="77"/>
      <c r="H16" s="77"/>
      <c r="I16" s="77"/>
      <c r="J16" s="77"/>
    </row>
    <row r="17" spans="1:10" ht="15">
      <c r="A17" s="77"/>
      <c r="B17" s="77"/>
      <c r="C17" s="77"/>
      <c r="D17" s="77"/>
      <c r="E17" s="77"/>
      <c r="F17" s="77"/>
      <c r="G17" s="77"/>
      <c r="H17" s="77"/>
      <c r="I17" s="77"/>
      <c r="J17" s="77"/>
    </row>
    <row r="18" spans="1:10" ht="15">
      <c r="A18" s="77"/>
      <c r="B18" s="77"/>
      <c r="C18" s="77"/>
      <c r="D18" s="77"/>
      <c r="E18" s="77"/>
      <c r="F18" s="77"/>
      <c r="G18" s="77"/>
      <c r="H18" s="77"/>
      <c r="I18" s="77"/>
      <c r="J18" s="77"/>
    </row>
    <row r="19" spans="1:10" ht="15">
      <c r="A19" s="77"/>
      <c r="B19" s="77"/>
      <c r="C19" s="77"/>
      <c r="D19" s="77"/>
      <c r="E19" s="77"/>
      <c r="F19" s="77"/>
      <c r="G19" s="77"/>
      <c r="H19" s="77"/>
      <c r="I19" s="77"/>
      <c r="J19" s="77"/>
    </row>
  </sheetData>
  <printOptions gridLines="1"/>
  <pageMargins left="0.75" right="0.75" top="1" bottom="1" header="0.5" footer="0.5"/>
  <pageSetup horizontalDpi="120" verticalDpi="120" orientation="portrait" paperSize="9" r:id="rId2"/>
  <headerFooter alignWithMargins="0">
    <oddHeader>&amp;C&amp;A</oddHeader>
    <oddFooter>&amp;CStrona &amp;P</oddFooter>
  </headerFooter>
  <drawing r:id="rId1"/>
</worksheet>
</file>

<file path=xl/worksheets/sheet2.xml><?xml version="1.0" encoding="utf-8"?>
<worksheet xmlns="http://schemas.openxmlformats.org/spreadsheetml/2006/main" xmlns:r="http://schemas.openxmlformats.org/officeDocument/2006/relationships">
  <dimension ref="A1:J21"/>
  <sheetViews>
    <sheetView zoomScale="75" zoomScaleNormal="75" workbookViewId="0" topLeftCell="A1">
      <selection activeCell="M3" sqref="M3"/>
    </sheetView>
  </sheetViews>
  <sheetFormatPr defaultColWidth="8.796875" defaultRowHeight="15"/>
  <cols>
    <col min="1" max="1" width="9" style="34" customWidth="1"/>
    <col min="2" max="16384" width="8.8984375" style="34" customWidth="1"/>
  </cols>
  <sheetData>
    <row r="1" spans="1:10" ht="15">
      <c r="A1" s="69"/>
      <c r="B1" s="69"/>
      <c r="C1" s="69"/>
      <c r="D1" s="69"/>
      <c r="E1" s="69"/>
      <c r="F1" s="69"/>
      <c r="G1" s="69"/>
      <c r="H1" s="69"/>
      <c r="I1" s="69"/>
      <c r="J1" s="69"/>
    </row>
    <row r="2" spans="1:10" ht="15">
      <c r="A2" s="69"/>
      <c r="B2" s="69"/>
      <c r="C2" s="69"/>
      <c r="D2" s="69"/>
      <c r="E2" s="69"/>
      <c r="F2" s="69"/>
      <c r="G2" s="69"/>
      <c r="H2" s="69"/>
      <c r="I2" s="69"/>
      <c r="J2" s="69"/>
    </row>
    <row r="3" spans="1:10" ht="15">
      <c r="A3" s="69"/>
      <c r="B3" s="69"/>
      <c r="C3" s="69"/>
      <c r="D3" s="69"/>
      <c r="E3" s="69"/>
      <c r="F3" s="69"/>
      <c r="G3" s="69"/>
      <c r="H3" s="69"/>
      <c r="I3" s="69"/>
      <c r="J3" s="69"/>
    </row>
    <row r="4" spans="1:10" ht="15">
      <c r="A4" s="69"/>
      <c r="B4" s="69"/>
      <c r="C4" s="69"/>
      <c r="D4" s="69"/>
      <c r="E4" s="69"/>
      <c r="F4" s="69"/>
      <c r="G4" s="69"/>
      <c r="H4" s="69"/>
      <c r="I4" s="69"/>
      <c r="J4" s="69"/>
    </row>
    <row r="5" spans="1:10" ht="15">
      <c r="A5" s="69"/>
      <c r="B5" s="69"/>
      <c r="C5" s="69"/>
      <c r="D5" s="69"/>
      <c r="E5" s="69"/>
      <c r="F5" s="69"/>
      <c r="G5" s="69"/>
      <c r="H5" s="69"/>
      <c r="I5" s="69"/>
      <c r="J5" s="69"/>
    </row>
    <row r="6" spans="1:10" ht="15">
      <c r="A6" s="69"/>
      <c r="B6" s="69"/>
      <c r="C6" s="69"/>
      <c r="D6" s="69"/>
      <c r="E6" s="69"/>
      <c r="F6" s="69"/>
      <c r="G6" s="69"/>
      <c r="H6" s="69"/>
      <c r="I6" s="69"/>
      <c r="J6" s="69"/>
    </row>
    <row r="7" spans="1:10" ht="16.5">
      <c r="A7" s="70" t="s">
        <v>0</v>
      </c>
      <c r="B7" s="71"/>
      <c r="C7" s="69"/>
      <c r="D7" s="69"/>
      <c r="E7" s="72" t="s">
        <v>1</v>
      </c>
      <c r="F7" s="69"/>
      <c r="G7" s="69"/>
      <c r="H7" s="69"/>
      <c r="I7" s="69"/>
      <c r="J7" s="69"/>
    </row>
    <row r="8" spans="1:10" ht="16.5">
      <c r="A8" s="69"/>
      <c r="B8" s="69"/>
      <c r="C8" s="72" t="s">
        <v>2</v>
      </c>
      <c r="D8" s="69"/>
      <c r="E8" s="69"/>
      <c r="F8" s="69"/>
      <c r="G8" s="72" t="s">
        <v>3</v>
      </c>
      <c r="H8" s="69"/>
      <c r="I8" s="72" t="s">
        <v>4</v>
      </c>
      <c r="J8" s="69"/>
    </row>
    <row r="9" spans="1:10" ht="15">
      <c r="A9" s="69"/>
      <c r="B9" s="69"/>
      <c r="C9" s="69"/>
      <c r="D9" s="69"/>
      <c r="E9" s="69"/>
      <c r="F9" s="69"/>
      <c r="G9" s="69"/>
      <c r="H9" s="69"/>
      <c r="I9" s="69"/>
      <c r="J9" s="69"/>
    </row>
    <row r="10" spans="1:10" ht="16.5">
      <c r="A10" s="69"/>
      <c r="B10" s="72" t="s">
        <v>5</v>
      </c>
      <c r="C10" s="69"/>
      <c r="D10" s="69"/>
      <c r="E10" s="72" t="s">
        <v>6</v>
      </c>
      <c r="F10" s="69"/>
      <c r="G10" s="69"/>
      <c r="H10" s="69"/>
      <c r="I10" s="69"/>
      <c r="J10" s="69"/>
    </row>
    <row r="11" spans="1:10" ht="15">
      <c r="A11" s="69"/>
      <c r="B11" s="69"/>
      <c r="C11" s="69"/>
      <c r="D11" s="69"/>
      <c r="E11" s="69"/>
      <c r="F11" s="69"/>
      <c r="G11" s="69"/>
      <c r="H11" s="69"/>
      <c r="I11" s="69"/>
      <c r="J11" s="69"/>
    </row>
    <row r="12" spans="1:10" ht="15">
      <c r="A12" s="69"/>
      <c r="B12" s="69"/>
      <c r="C12" s="69"/>
      <c r="D12" s="69"/>
      <c r="E12" s="69"/>
      <c r="F12" s="69"/>
      <c r="G12" s="69"/>
      <c r="H12" s="69"/>
      <c r="I12" s="69"/>
      <c r="J12" s="69"/>
    </row>
    <row r="13" spans="1:10" ht="15">
      <c r="A13" s="69"/>
      <c r="B13" s="69"/>
      <c r="C13" s="69"/>
      <c r="D13" s="69"/>
      <c r="E13" s="69"/>
      <c r="F13" s="69"/>
      <c r="G13" s="69"/>
      <c r="H13" s="69"/>
      <c r="I13" s="69"/>
      <c r="J13" s="69"/>
    </row>
    <row r="14" spans="1:10" ht="15">
      <c r="A14" s="69"/>
      <c r="B14" s="69"/>
      <c r="C14" s="69"/>
      <c r="D14" s="69"/>
      <c r="E14" s="69"/>
      <c r="F14" s="69"/>
      <c r="G14" s="69"/>
      <c r="H14" s="69"/>
      <c r="I14" s="69"/>
      <c r="J14" s="69"/>
    </row>
    <row r="15" spans="1:10" ht="16.5">
      <c r="A15" s="69"/>
      <c r="B15" s="69"/>
      <c r="C15" s="69"/>
      <c r="D15" s="69"/>
      <c r="E15" s="69"/>
      <c r="F15" s="69"/>
      <c r="G15" s="72" t="s">
        <v>7</v>
      </c>
      <c r="H15" s="69"/>
      <c r="I15" s="69"/>
      <c r="J15" s="69"/>
    </row>
    <row r="16" spans="1:10" ht="15">
      <c r="A16" s="69"/>
      <c r="B16" s="69"/>
      <c r="C16" s="69"/>
      <c r="D16" s="69"/>
      <c r="E16" s="69"/>
      <c r="F16" s="69"/>
      <c r="G16" s="69"/>
      <c r="H16" s="69"/>
      <c r="I16" s="69"/>
      <c r="J16" s="69"/>
    </row>
    <row r="17" spans="1:10" ht="15">
      <c r="A17" s="69"/>
      <c r="B17" s="69"/>
      <c r="C17" s="69"/>
      <c r="D17" s="69"/>
      <c r="E17" s="69"/>
      <c r="F17" s="69"/>
      <c r="G17" s="69"/>
      <c r="H17" s="69"/>
      <c r="I17" s="69"/>
      <c r="J17" s="69"/>
    </row>
    <row r="18" spans="1:10" ht="16.5">
      <c r="A18" s="69"/>
      <c r="B18" s="72" t="s">
        <v>8</v>
      </c>
      <c r="C18" s="72" t="s">
        <v>9</v>
      </c>
      <c r="D18" s="72" t="s">
        <v>10</v>
      </c>
      <c r="E18" s="72" t="s">
        <v>11</v>
      </c>
      <c r="F18" s="69"/>
      <c r="G18" s="69"/>
      <c r="H18" s="69"/>
      <c r="I18" s="69"/>
      <c r="J18" s="69"/>
    </row>
    <row r="19" spans="1:10" ht="15">
      <c r="A19" s="69"/>
      <c r="B19" s="69"/>
      <c r="C19" s="69"/>
      <c r="D19" s="69"/>
      <c r="E19" s="69"/>
      <c r="F19" s="69"/>
      <c r="G19" s="69"/>
      <c r="H19" s="69"/>
      <c r="I19" s="69"/>
      <c r="J19" s="69"/>
    </row>
    <row r="20" spans="1:10" ht="15">
      <c r="A20" s="69"/>
      <c r="B20" s="69"/>
      <c r="C20" s="69"/>
      <c r="D20" s="69"/>
      <c r="E20" s="69"/>
      <c r="F20" s="69"/>
      <c r="G20" s="69"/>
      <c r="H20" s="69"/>
      <c r="I20" s="69"/>
      <c r="J20" s="69"/>
    </row>
    <row r="21" spans="1:10" ht="15">
      <c r="A21" s="69"/>
      <c r="B21" s="69"/>
      <c r="C21" s="69"/>
      <c r="D21" s="69"/>
      <c r="E21" s="69"/>
      <c r="F21" s="69"/>
      <c r="G21" s="69"/>
      <c r="H21" s="69"/>
      <c r="I21" s="69"/>
      <c r="J21" s="69"/>
    </row>
  </sheetData>
  <printOptions gridLines="1"/>
  <pageMargins left="0.75" right="0.75" top="1" bottom="1" header="0.5" footer="0.5"/>
  <pageSetup orientation="portrait" paperSize="9"/>
  <headerFooter alignWithMargins="0">
    <oddHeader>&amp;C&amp;A</oddHeader>
    <oddFooter>&amp;CStrona &amp;P</oddFooter>
  </headerFooter>
  <drawing r:id="rId2"/>
  <legacy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3:AV243"/>
  <sheetViews>
    <sheetView showGridLines="0" zoomScale="75" zoomScaleNormal="75" workbookViewId="0" topLeftCell="A1">
      <selection activeCell="Q67" sqref="Q67"/>
    </sheetView>
  </sheetViews>
  <sheetFormatPr defaultColWidth="9.796875" defaultRowHeight="15"/>
  <cols>
    <col min="1" max="1" width="3.796875" style="1" customWidth="1"/>
    <col min="2" max="2" width="11.796875" style="1" customWidth="1"/>
    <col min="3" max="3" width="40.796875" style="1" customWidth="1"/>
    <col min="4" max="5" width="7.796875" style="1" customWidth="1"/>
    <col min="6" max="6" width="4.796875" style="1" customWidth="1"/>
    <col min="7" max="14" width="9.796875" style="1" customWidth="1"/>
    <col min="15" max="15" width="2.796875" style="1" customWidth="1"/>
    <col min="16" max="16" width="9.796875" style="1" customWidth="1"/>
    <col min="17" max="18" width="38.796875" style="1" customWidth="1"/>
    <col min="19" max="20" width="9.796875" style="1" customWidth="1"/>
    <col min="21" max="28" width="9.796875" style="30" customWidth="1"/>
    <col min="29" max="16384" width="9.796875" style="1" customWidth="1"/>
  </cols>
  <sheetData>
    <row r="3" spans="2:5" ht="60">
      <c r="B3" s="79" t="s">
        <v>12</v>
      </c>
      <c r="C3" s="34"/>
      <c r="D3" s="35"/>
      <c r="E3" s="34"/>
    </row>
    <row r="4" ht="15.75" customHeight="1"/>
    <row r="5" ht="15.75" hidden="1"/>
    <row r="6" spans="2:7" ht="15.75" customHeight="1" hidden="1">
      <c r="B6" s="2"/>
      <c r="C6" s="3"/>
      <c r="D6" s="4"/>
      <c r="E6" s="4"/>
      <c r="F6" s="4"/>
      <c r="G6" s="4"/>
    </row>
    <row r="7" spans="2:7" ht="26.25" hidden="1">
      <c r="B7" s="4"/>
      <c r="C7" s="3"/>
      <c r="D7" s="4"/>
      <c r="E7" s="4"/>
      <c r="F7" s="4"/>
      <c r="G7" s="4"/>
    </row>
    <row r="8" spans="3:5" ht="21" hidden="1">
      <c r="C8" s="5"/>
      <c r="D8" s="5"/>
      <c r="E8" s="5"/>
    </row>
    <row r="9" spans="2:7" ht="23.25" hidden="1">
      <c r="B9" s="6"/>
      <c r="C9" s="7"/>
      <c r="D9" s="7"/>
      <c r="E9" s="7"/>
      <c r="F9" s="7"/>
      <c r="G9" s="7"/>
    </row>
    <row r="10" spans="4:7" ht="15.75" hidden="1">
      <c r="D10" s="7"/>
      <c r="E10" s="7"/>
      <c r="F10" s="7"/>
      <c r="G10" s="7"/>
    </row>
    <row r="11" spans="2:7" ht="20.25" hidden="1">
      <c r="B11" s="8"/>
      <c r="C11" s="9"/>
      <c r="D11" s="7"/>
      <c r="E11" s="7"/>
      <c r="F11" s="7"/>
      <c r="G11" s="7"/>
    </row>
    <row r="12" spans="3:7" ht="20.25" hidden="1">
      <c r="C12" s="10"/>
      <c r="D12" s="7"/>
      <c r="E12" s="7"/>
      <c r="F12" s="7"/>
      <c r="G12" s="7"/>
    </row>
    <row r="13" spans="3:7" ht="13.5" customHeight="1" hidden="1">
      <c r="C13" s="10"/>
      <c r="D13" s="7"/>
      <c r="E13" s="7"/>
      <c r="F13" s="7"/>
      <c r="G13" s="7"/>
    </row>
    <row r="14" spans="3:7" ht="20.25" hidden="1">
      <c r="C14" s="10"/>
      <c r="D14" s="7"/>
      <c r="E14" s="7"/>
      <c r="F14" s="7"/>
      <c r="G14" s="7"/>
    </row>
    <row r="15" spans="2:7" ht="20.25" hidden="1">
      <c r="B15" s="8"/>
      <c r="C15" s="9"/>
      <c r="D15" s="7"/>
      <c r="E15" s="7"/>
      <c r="F15" s="7"/>
      <c r="G15" s="7"/>
    </row>
    <row r="16" spans="2:7" ht="20.25" hidden="1">
      <c r="B16" s="8"/>
      <c r="C16" s="9"/>
      <c r="D16" s="7"/>
      <c r="E16" s="7"/>
      <c r="F16" s="7"/>
      <c r="G16" s="7"/>
    </row>
    <row r="17" spans="2:7" ht="20.25" hidden="1">
      <c r="B17" s="8"/>
      <c r="C17" s="9"/>
      <c r="D17" s="7"/>
      <c r="E17" s="7"/>
      <c r="F17" s="7"/>
      <c r="G17" s="7"/>
    </row>
    <row r="18" spans="2:3" ht="20.25" hidden="1">
      <c r="B18" s="8"/>
      <c r="C18" s="9"/>
    </row>
    <row r="19" ht="15.75" customHeight="1" hidden="1"/>
    <row r="20" ht="15.75" hidden="1"/>
    <row r="21" ht="15.75" hidden="1"/>
    <row r="22" ht="15.75" hidden="1"/>
    <row r="23" ht="15.75" hidden="1"/>
    <row r="24" ht="15.75" hidden="1"/>
    <row r="25" ht="15.75" hidden="1"/>
    <row r="26" ht="15.75" hidden="1"/>
    <row r="27" ht="0.75" customHeight="1" hidden="1"/>
    <row r="28" ht="15.75" hidden="1"/>
    <row r="29" ht="15.75" hidden="1"/>
    <row r="30" ht="15.75" hidden="1"/>
    <row r="31" ht="15.75" hidden="1"/>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 customHeight="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c r="F63" s="22"/>
    </row>
    <row r="64" ht="16.5" thickBot="1"/>
    <row r="65" spans="1:48" s="20" customFormat="1" ht="24.75" thickBot="1" thickTop="1">
      <c r="A65" s="18"/>
      <c r="B65" s="39" t="s">
        <v>13</v>
      </c>
      <c r="C65" s="33" t="s">
        <v>14</v>
      </c>
      <c r="D65" s="19" t="s">
        <v>15</v>
      </c>
      <c r="E65" s="23"/>
      <c r="F65" s="24"/>
      <c r="G65" s="21"/>
      <c r="H65" s="76" t="s">
        <v>16</v>
      </c>
      <c r="I65" s="76" t="s">
        <v>17</v>
      </c>
      <c r="J65" s="76" t="s">
        <v>18</v>
      </c>
      <c r="K65" s="76" t="s">
        <v>19</v>
      </c>
      <c r="L65" s="76" t="s">
        <v>20</v>
      </c>
      <c r="M65" s="76" t="s">
        <v>21</v>
      </c>
      <c r="N65" s="76" t="s">
        <v>22</v>
      </c>
      <c r="O65" s="17"/>
      <c r="P65" s="18"/>
      <c r="Q65" s="16"/>
      <c r="R65" s="18"/>
      <c r="S65" s="18"/>
      <c r="T65" s="18"/>
      <c r="U65" s="30"/>
      <c r="V65" s="30"/>
      <c r="W65" s="31" t="s">
        <v>17</v>
      </c>
      <c r="X65" s="31" t="s">
        <v>18</v>
      </c>
      <c r="Y65" s="31" t="s">
        <v>19</v>
      </c>
      <c r="Z65" s="31" t="s">
        <v>20</v>
      </c>
      <c r="AA65" s="31" t="s">
        <v>21</v>
      </c>
      <c r="AB65" s="31" t="s">
        <v>22</v>
      </c>
      <c r="AC65" s="18"/>
      <c r="AD65" s="18"/>
      <c r="AE65" s="18"/>
      <c r="AF65" s="18"/>
      <c r="AG65" s="18"/>
      <c r="AH65" s="18"/>
      <c r="AI65" s="18"/>
      <c r="AJ65" s="18"/>
      <c r="AK65" s="18"/>
      <c r="AL65" s="18"/>
      <c r="AM65" s="18"/>
      <c r="AN65" s="18"/>
      <c r="AO65" s="18"/>
      <c r="AP65" s="18"/>
      <c r="AQ65" s="18"/>
      <c r="AR65" s="18"/>
      <c r="AS65" s="18"/>
      <c r="AT65" s="18"/>
      <c r="AU65" s="18"/>
      <c r="AV65" s="18"/>
    </row>
    <row r="66" spans="2:28" ht="17.25" thickBot="1" thickTop="1">
      <c r="B66" s="42" t="s">
        <v>23</v>
      </c>
      <c r="C66" s="43"/>
      <c r="D66" s="43"/>
      <c r="E66" s="44"/>
      <c r="F66" s="44"/>
      <c r="G66" s="11"/>
      <c r="H66" s="73">
        <f>(B83-B83)</f>
        <v>0</v>
      </c>
      <c r="I66" s="73">
        <f>(-E92*H66)</f>
        <v>0</v>
      </c>
      <c r="J66" s="73">
        <v>0</v>
      </c>
      <c r="K66" s="73">
        <f aca="true" t="shared" si="0" ref="K66:K103">((I66^2)+(J66^2))^0.5</f>
        <v>0</v>
      </c>
      <c r="L66" s="73">
        <f aca="true" t="shared" si="1" ref="L66:L81">($E$76)</f>
        <v>191.08</v>
      </c>
      <c r="M66" s="73">
        <f aca="true" t="shared" si="2" ref="M66:M86">((K66^2)+(L66*$E$135)^2)^0.5</f>
        <v>89.56875000000001</v>
      </c>
      <c r="N66" s="73">
        <f aca="true" t="shared" si="3" ref="N66:N103">((10*M66)/((10^6)*$B$94))^(1/3)</f>
        <v>0.02285765902852205</v>
      </c>
      <c r="O66" s="25" t="s">
        <v>24</v>
      </c>
      <c r="P66" s="12"/>
      <c r="V66" s="32">
        <v>0</v>
      </c>
      <c r="W66" s="25">
        <f aca="true" t="shared" si="4" ref="W66:W97">(-$E$92*V66)</f>
        <v>0</v>
      </c>
      <c r="X66" s="25">
        <f aca="true" t="shared" si="5" ref="X66:X97">((-$E$93*V66))</f>
        <v>0</v>
      </c>
      <c r="Y66" s="25">
        <f aca="true" t="shared" si="6" ref="Y66:Y97">((W66^2)+(X66^2))^0.5</f>
        <v>0</v>
      </c>
      <c r="Z66" s="25">
        <f aca="true" t="shared" si="7" ref="Z66:Z97">($E$76)</f>
        <v>191.08</v>
      </c>
      <c r="AA66" s="25">
        <f aca="true" t="shared" si="8" ref="AA66:AA97">((Y66^2)+(Z66*$E$135)^2)^0.5</f>
        <v>89.56875000000001</v>
      </c>
      <c r="AB66" s="25">
        <f aca="true" t="shared" si="9" ref="AB66:AB97">((10*AA66)/((10^6)*$B$94))^(1/3)</f>
        <v>0.02285765902852205</v>
      </c>
    </row>
    <row r="67" spans="2:28" ht="18" thickBot="1" thickTop="1">
      <c r="B67" s="45" t="s">
        <v>25</v>
      </c>
      <c r="C67" s="46"/>
      <c r="D67" s="46"/>
      <c r="E67" s="47"/>
      <c r="F67" s="47"/>
      <c r="G67" s="11"/>
      <c r="H67" s="73">
        <f>(B83*0.1)</f>
        <v>0.010000000000000002</v>
      </c>
      <c r="I67" s="73">
        <f>(-E92*H67)</f>
        <v>-11.03200894367537</v>
      </c>
      <c r="J67" s="73">
        <f>((-E93*H67))</f>
        <v>-6.369333333333336</v>
      </c>
      <c r="K67" s="73">
        <f t="shared" si="0"/>
        <v>12.738666666666669</v>
      </c>
      <c r="L67" s="73">
        <f t="shared" si="1"/>
        <v>191.08</v>
      </c>
      <c r="M67" s="73">
        <f t="shared" si="2"/>
        <v>90.47007574334701</v>
      </c>
      <c r="N67" s="73">
        <f t="shared" si="3"/>
        <v>0.022934075092532518</v>
      </c>
      <c r="O67" s="26"/>
      <c r="Q67" s="15" t="s">
        <v>26</v>
      </c>
      <c r="R67" s="38"/>
      <c r="U67" s="32">
        <v>1</v>
      </c>
      <c r="V67" s="32">
        <f aca="true" t="shared" si="10" ref="V67:V98">(U67*($B$83*0.02))</f>
        <v>0.002</v>
      </c>
      <c r="W67" s="25">
        <f t="shared" si="4"/>
        <v>-2.2064017887350738</v>
      </c>
      <c r="X67" s="25">
        <f t="shared" si="5"/>
        <v>-1.2738666666666671</v>
      </c>
      <c r="Y67" s="25">
        <f t="shared" si="6"/>
        <v>2.5477333333333334</v>
      </c>
      <c r="Z67" s="25">
        <f t="shared" si="7"/>
        <v>191.08</v>
      </c>
      <c r="AA67" s="25">
        <f t="shared" si="8"/>
        <v>89.60497710339688</v>
      </c>
      <c r="AB67" s="25">
        <f t="shared" si="9"/>
        <v>0.02286074029351592</v>
      </c>
    </row>
    <row r="68" spans="2:28" ht="24.75" thickBot="1" thickTop="1">
      <c r="B68" s="78">
        <v>20</v>
      </c>
      <c r="C68" s="66" t="s">
        <v>27</v>
      </c>
      <c r="D68" s="46"/>
      <c r="E68" s="47"/>
      <c r="F68" s="47"/>
      <c r="G68" s="11"/>
      <c r="H68" s="73">
        <f>(B83*0.2)</f>
        <v>0.020000000000000004</v>
      </c>
      <c r="I68" s="73">
        <f>(-E92*H68)</f>
        <v>-22.06401788735074</v>
      </c>
      <c r="J68" s="73">
        <f>((-E93*H68))</f>
        <v>-12.738666666666672</v>
      </c>
      <c r="K68" s="73">
        <f t="shared" si="0"/>
        <v>25.477333333333338</v>
      </c>
      <c r="L68" s="73">
        <f t="shared" si="1"/>
        <v>191.08</v>
      </c>
      <c r="M68" s="73">
        <f t="shared" si="2"/>
        <v>93.12172405158894</v>
      </c>
      <c r="N68" s="73">
        <f t="shared" si="3"/>
        <v>0.023155984392097484</v>
      </c>
      <c r="O68" s="27"/>
      <c r="U68" s="32">
        <v>2</v>
      </c>
      <c r="V68" s="32">
        <f t="shared" si="10"/>
        <v>0.004</v>
      </c>
      <c r="W68" s="25">
        <f t="shared" si="4"/>
        <v>-4.4128035774701475</v>
      </c>
      <c r="X68" s="25">
        <f t="shared" si="5"/>
        <v>-2.5477333333333343</v>
      </c>
      <c r="Y68" s="25">
        <f t="shared" si="6"/>
        <v>5.095466666666667</v>
      </c>
      <c r="Z68" s="25">
        <f t="shared" si="7"/>
        <v>191.08</v>
      </c>
      <c r="AA68" s="25">
        <f t="shared" si="8"/>
        <v>89.7135706407543</v>
      </c>
      <c r="AB68" s="25">
        <f t="shared" si="9"/>
        <v>0.022869971650000286</v>
      </c>
    </row>
    <row r="69" spans="2:28" ht="17.25" thickBot="1" thickTop="1">
      <c r="B69" s="45" t="s">
        <v>28</v>
      </c>
      <c r="C69" s="46"/>
      <c r="D69" s="46"/>
      <c r="E69" s="47"/>
      <c r="F69" s="47"/>
      <c r="G69" s="11"/>
      <c r="H69" s="73">
        <f>(B83*0.3)</f>
        <v>0.03</v>
      </c>
      <c r="I69" s="73">
        <f aca="true" t="shared" si="11" ref="I69:I75">(-$E$92*H69)</f>
        <v>-33.09602683102611</v>
      </c>
      <c r="J69" s="73">
        <f aca="true" t="shared" si="12" ref="J69:J75">((-$E$93*H69))</f>
        <v>-19.108000000000004</v>
      </c>
      <c r="K69" s="73">
        <f t="shared" si="0"/>
        <v>38.216</v>
      </c>
      <c r="L69" s="73">
        <f t="shared" si="1"/>
        <v>191.08</v>
      </c>
      <c r="M69" s="73">
        <f t="shared" si="2"/>
        <v>97.3808175800681</v>
      </c>
      <c r="N69" s="73">
        <f t="shared" si="3"/>
        <v>0.023503762192701897</v>
      </c>
      <c r="O69" s="27"/>
      <c r="Q69" s="36" t="s">
        <v>29</v>
      </c>
      <c r="R69" s="37"/>
      <c r="U69" s="32">
        <v>3</v>
      </c>
      <c r="V69" s="32">
        <f t="shared" si="10"/>
        <v>0.006</v>
      </c>
      <c r="W69" s="25">
        <f t="shared" si="4"/>
        <v>-6.619205366205222</v>
      </c>
      <c r="X69" s="25">
        <f t="shared" si="5"/>
        <v>-3.821600000000001</v>
      </c>
      <c r="Y69" s="25">
        <f t="shared" si="6"/>
        <v>7.643200000000001</v>
      </c>
      <c r="Z69" s="25">
        <f t="shared" si="7"/>
        <v>191.08</v>
      </c>
      <c r="AA69" s="25">
        <f t="shared" si="8"/>
        <v>89.89426835345233</v>
      </c>
      <c r="AB69" s="25">
        <f t="shared" si="9"/>
        <v>0.022885315965968354</v>
      </c>
    </row>
    <row r="70" spans="2:28" ht="21.75" thickBot="1" thickTop="1">
      <c r="B70" s="78">
        <v>6</v>
      </c>
      <c r="C70" s="41" t="s">
        <v>30</v>
      </c>
      <c r="D70" s="46"/>
      <c r="E70" s="47"/>
      <c r="F70" s="47"/>
      <c r="G70" s="11"/>
      <c r="H70" s="73">
        <f>(B83*0.4)</f>
        <v>0.04000000000000001</v>
      </c>
      <c r="I70" s="73">
        <f t="shared" si="11"/>
        <v>-44.12803577470148</v>
      </c>
      <c r="J70" s="73">
        <f t="shared" si="12"/>
        <v>-25.477333333333345</v>
      </c>
      <c r="K70" s="73">
        <f t="shared" si="0"/>
        <v>50.954666666666675</v>
      </c>
      <c r="L70" s="73">
        <f t="shared" si="1"/>
        <v>191.08</v>
      </c>
      <c r="M70" s="73">
        <f t="shared" si="2"/>
        <v>103.04823643165182</v>
      </c>
      <c r="N70" s="73">
        <f t="shared" si="3"/>
        <v>0.023951153462521142</v>
      </c>
      <c r="O70" s="27"/>
      <c r="U70" s="32">
        <v>4</v>
      </c>
      <c r="V70" s="32">
        <f t="shared" si="10"/>
        <v>0.008</v>
      </c>
      <c r="W70" s="25">
        <f t="shared" si="4"/>
        <v>-8.825607154940295</v>
      </c>
      <c r="X70" s="25">
        <f t="shared" si="5"/>
        <v>-5.095466666666669</v>
      </c>
      <c r="Y70" s="25">
        <f t="shared" si="6"/>
        <v>10.190933333333334</v>
      </c>
      <c r="Z70" s="25">
        <f t="shared" si="7"/>
        <v>191.08</v>
      </c>
      <c r="AA70" s="25">
        <f t="shared" si="8"/>
        <v>90.1466366470039</v>
      </c>
      <c r="AB70" s="25">
        <f t="shared" si="9"/>
        <v>0.022906711960532167</v>
      </c>
    </row>
    <row r="71" spans="2:28" ht="17.25" thickBot="1" thickTop="1">
      <c r="B71" s="45" t="s">
        <v>31</v>
      </c>
      <c r="C71" s="67" t="s">
        <v>32</v>
      </c>
      <c r="D71" s="46"/>
      <c r="E71" s="47"/>
      <c r="F71" s="47"/>
      <c r="G71" s="11"/>
      <c r="H71" s="73">
        <f>(B83*0.5)</f>
        <v>0.05</v>
      </c>
      <c r="I71" s="73">
        <f t="shared" si="11"/>
        <v>-55.160044718376845</v>
      </c>
      <c r="J71" s="73">
        <f t="shared" si="12"/>
        <v>-31.84666666666668</v>
      </c>
      <c r="K71" s="73">
        <f t="shared" si="0"/>
        <v>63.69333333333334</v>
      </c>
      <c r="L71" s="73">
        <f t="shared" si="1"/>
        <v>191.08</v>
      </c>
      <c r="M71" s="73">
        <f t="shared" si="2"/>
        <v>109.90633142669085</v>
      </c>
      <c r="N71" s="73">
        <f t="shared" si="3"/>
        <v>0.02447111827701641</v>
      </c>
      <c r="O71" s="27"/>
      <c r="U71" s="32">
        <v>5</v>
      </c>
      <c r="V71" s="32">
        <f t="shared" si="10"/>
        <v>0.01</v>
      </c>
      <c r="W71" s="25">
        <f t="shared" si="4"/>
        <v>-11.032008943675368</v>
      </c>
      <c r="X71" s="25">
        <f t="shared" si="5"/>
        <v>-6.369333333333335</v>
      </c>
      <c r="Y71" s="25">
        <f t="shared" si="6"/>
        <v>12.738666666666667</v>
      </c>
      <c r="Z71" s="25">
        <f t="shared" si="7"/>
        <v>191.08</v>
      </c>
      <c r="AA71" s="25">
        <f t="shared" si="8"/>
        <v>90.47007574334701</v>
      </c>
      <c r="AB71" s="25">
        <f t="shared" si="9"/>
        <v>0.022934075092532518</v>
      </c>
    </row>
    <row r="72" spans="2:28" ht="17.25" thickBot="1" thickTop="1">
      <c r="B72" s="45" t="s">
        <v>33</v>
      </c>
      <c r="C72" s="45" t="s">
        <v>34</v>
      </c>
      <c r="D72" s="45" t="s">
        <v>35</v>
      </c>
      <c r="E72" s="49">
        <f>(B68-B70)</f>
        <v>14</v>
      </c>
      <c r="F72" s="50" t="s">
        <v>36</v>
      </c>
      <c r="G72" s="11"/>
      <c r="H72" s="73">
        <f>(B83*0.6)</f>
        <v>0.06</v>
      </c>
      <c r="I72" s="73">
        <f t="shared" si="11"/>
        <v>-66.19205366205222</v>
      </c>
      <c r="J72" s="73">
        <f t="shared" si="12"/>
        <v>-38.21600000000001</v>
      </c>
      <c r="K72" s="73">
        <f t="shared" si="0"/>
        <v>76.432</v>
      </c>
      <c r="L72" s="73">
        <f t="shared" si="1"/>
        <v>191.08</v>
      </c>
      <c r="M72" s="73">
        <f t="shared" si="2"/>
        <v>117.74723606336796</v>
      </c>
      <c r="N72" s="73">
        <f t="shared" si="3"/>
        <v>0.025039740248428574</v>
      </c>
      <c r="O72" s="27"/>
      <c r="U72" s="32">
        <v>6</v>
      </c>
      <c r="V72" s="32">
        <f t="shared" si="10"/>
        <v>0.012</v>
      </c>
      <c r="W72" s="25">
        <f t="shared" si="4"/>
        <v>-13.238410732410443</v>
      </c>
      <c r="X72" s="25">
        <f t="shared" si="5"/>
        <v>-7.643200000000002</v>
      </c>
      <c r="Y72" s="25">
        <f t="shared" si="6"/>
        <v>15.286400000000002</v>
      </c>
      <c r="Z72" s="25">
        <f t="shared" si="7"/>
        <v>191.08</v>
      </c>
      <c r="AA72" s="25">
        <f t="shared" si="8"/>
        <v>90.86382669424891</v>
      </c>
      <c r="AB72" s="25">
        <f t="shared" si="9"/>
        <v>0.022967298765567534</v>
      </c>
    </row>
    <row r="73" spans="2:28" ht="17.25" thickBot="1" thickTop="1">
      <c r="B73" s="78">
        <v>1000</v>
      </c>
      <c r="C73" s="46"/>
      <c r="D73" s="46"/>
      <c r="E73" s="47"/>
      <c r="F73" s="47"/>
      <c r="G73" s="11"/>
      <c r="H73" s="73">
        <f>(B83*0.7)</f>
        <v>0.06999999999999999</v>
      </c>
      <c r="I73" s="73">
        <f t="shared" si="11"/>
        <v>-77.22406260572757</v>
      </c>
      <c r="J73" s="73">
        <f t="shared" si="12"/>
        <v>-44.58533333333334</v>
      </c>
      <c r="K73" s="73">
        <f t="shared" si="0"/>
        <v>89.17066666666665</v>
      </c>
      <c r="L73" s="73">
        <f t="shared" si="1"/>
        <v>191.08</v>
      </c>
      <c r="M73" s="73">
        <f t="shared" si="2"/>
        <v>126.38816705032269</v>
      </c>
      <c r="N73" s="73">
        <f t="shared" si="3"/>
        <v>0.025637856795013222</v>
      </c>
      <c r="O73" s="27"/>
      <c r="U73" s="32">
        <v>7</v>
      </c>
      <c r="V73" s="32">
        <f t="shared" si="10"/>
        <v>0.014</v>
      </c>
      <c r="W73" s="25">
        <f t="shared" si="4"/>
        <v>-15.444812521145517</v>
      </c>
      <c r="X73" s="25">
        <f t="shared" si="5"/>
        <v>-8.917066666666669</v>
      </c>
      <c r="Y73" s="25">
        <f t="shared" si="6"/>
        <v>17.834133333333334</v>
      </c>
      <c r="Z73" s="25">
        <f t="shared" si="7"/>
        <v>191.08</v>
      </c>
      <c r="AA73" s="25">
        <f t="shared" si="8"/>
        <v>91.32698006785078</v>
      </c>
      <c r="AB73" s="25">
        <f t="shared" si="9"/>
        <v>0.023006255812942737</v>
      </c>
    </row>
    <row r="74" spans="2:28" ht="17.25" thickBot="1" thickTop="1">
      <c r="B74" s="45" t="s">
        <v>37</v>
      </c>
      <c r="C74" s="67" t="s">
        <v>38</v>
      </c>
      <c r="D74" s="46"/>
      <c r="E74" s="47"/>
      <c r="F74" s="47"/>
      <c r="G74" s="11"/>
      <c r="H74" s="73">
        <f>(B83*0.8)</f>
        <v>0.08000000000000002</v>
      </c>
      <c r="I74" s="73">
        <f t="shared" si="11"/>
        <v>-88.25607154940296</v>
      </c>
      <c r="J74" s="73">
        <f t="shared" si="12"/>
        <v>-50.95466666666669</v>
      </c>
      <c r="K74" s="73">
        <f t="shared" si="0"/>
        <v>101.90933333333335</v>
      </c>
      <c r="L74" s="73">
        <f t="shared" si="1"/>
        <v>191.08</v>
      </c>
      <c r="M74" s="73">
        <f t="shared" si="2"/>
        <v>135.67635459801738</v>
      </c>
      <c r="N74" s="73">
        <f t="shared" si="3"/>
        <v>0.02625110773281849</v>
      </c>
      <c r="O74" s="27"/>
      <c r="U74" s="32">
        <v>8</v>
      </c>
      <c r="V74" s="32">
        <f t="shared" si="10"/>
        <v>0.016</v>
      </c>
      <c r="W74" s="25">
        <f t="shared" si="4"/>
        <v>-17.65121430988059</v>
      </c>
      <c r="X74" s="25">
        <f t="shared" si="5"/>
        <v>-10.190933333333337</v>
      </c>
      <c r="Y74" s="25">
        <f t="shared" si="6"/>
        <v>20.381866666666667</v>
      </c>
      <c r="Z74" s="25">
        <f t="shared" si="7"/>
        <v>191.08</v>
      </c>
      <c r="AA74" s="25">
        <f t="shared" si="8"/>
        <v>91.85848608256222</v>
      </c>
      <c r="AB74" s="25">
        <f t="shared" si="9"/>
        <v>0.023050800218996945</v>
      </c>
    </row>
    <row r="75" spans="2:28" ht="17.25" thickBot="1" thickTop="1">
      <c r="B75" s="45" t="s">
        <v>39</v>
      </c>
      <c r="C75" s="52" t="s">
        <v>40</v>
      </c>
      <c r="D75" s="46"/>
      <c r="E75" s="47"/>
      <c r="F75" s="47"/>
      <c r="G75" s="11"/>
      <c r="H75" s="73">
        <f>(B83*0.9)</f>
        <v>0.09000000000000001</v>
      </c>
      <c r="I75" s="73">
        <f t="shared" si="11"/>
        <v>-99.28808049307833</v>
      </c>
      <c r="J75" s="73">
        <f t="shared" si="12"/>
        <v>-57.32400000000002</v>
      </c>
      <c r="K75" s="73">
        <f t="shared" si="0"/>
        <v>114.64800000000001</v>
      </c>
      <c r="L75" s="73">
        <f t="shared" si="1"/>
        <v>191.08</v>
      </c>
      <c r="M75" s="73">
        <f t="shared" si="2"/>
        <v>145.48788568318156</v>
      </c>
      <c r="N75" s="73">
        <f t="shared" si="3"/>
        <v>0.026869228069965605</v>
      </c>
      <c r="O75" s="27"/>
      <c r="U75" s="32">
        <v>9</v>
      </c>
      <c r="V75" s="32">
        <f t="shared" si="10"/>
        <v>0.018000000000000002</v>
      </c>
      <c r="W75" s="25">
        <f t="shared" si="4"/>
        <v>-19.857616098615665</v>
      </c>
      <c r="X75" s="25">
        <f t="shared" si="5"/>
        <v>-11.464800000000004</v>
      </c>
      <c r="Y75" s="25">
        <f t="shared" si="6"/>
        <v>22.929600000000004</v>
      </c>
      <c r="Z75" s="25">
        <f t="shared" si="7"/>
        <v>191.08</v>
      </c>
      <c r="AA75" s="25">
        <f t="shared" si="8"/>
        <v>92.45716593494797</v>
      </c>
      <c r="AB75" s="25">
        <f t="shared" si="9"/>
        <v>0.023100769028363374</v>
      </c>
    </row>
    <row r="76" spans="2:28" ht="17.25" thickBot="1" thickTop="1">
      <c r="B76" s="78">
        <v>0.3</v>
      </c>
      <c r="C76" s="45" t="s">
        <v>41</v>
      </c>
      <c r="D76" s="45" t="s">
        <v>42</v>
      </c>
      <c r="E76" s="49">
        <f>(9554*B68/B73)</f>
        <v>191.08</v>
      </c>
      <c r="F76" s="50" t="s">
        <v>43</v>
      </c>
      <c r="G76" s="11"/>
      <c r="H76" s="73">
        <f>(B83)</f>
        <v>0.1</v>
      </c>
      <c r="I76" s="73">
        <f>(-E92*H76)</f>
        <v>-110.32008943675369</v>
      </c>
      <c r="J76" s="73">
        <f>((-E93*H76))</f>
        <v>-63.69333333333336</v>
      </c>
      <c r="K76" s="73">
        <f t="shared" si="0"/>
        <v>127.38666666666668</v>
      </c>
      <c r="L76" s="73">
        <f t="shared" si="1"/>
        <v>191.08</v>
      </c>
      <c r="M76" s="73">
        <f t="shared" si="2"/>
        <v>155.7238704277766</v>
      </c>
      <c r="N76" s="73">
        <f t="shared" si="3"/>
        <v>0.0274851413830338</v>
      </c>
      <c r="O76" s="25" t="s">
        <v>44</v>
      </c>
      <c r="P76" s="12"/>
      <c r="U76" s="32">
        <v>10</v>
      </c>
      <c r="V76" s="32">
        <f t="shared" si="10"/>
        <v>0.02</v>
      </c>
      <c r="W76" s="25">
        <f t="shared" si="4"/>
        <v>-22.064017887350737</v>
      </c>
      <c r="X76" s="25">
        <f t="shared" si="5"/>
        <v>-12.73866666666667</v>
      </c>
      <c r="Y76" s="25">
        <f t="shared" si="6"/>
        <v>25.477333333333334</v>
      </c>
      <c r="Z76" s="25">
        <f t="shared" si="7"/>
        <v>191.08</v>
      </c>
      <c r="AA76" s="25">
        <f t="shared" si="8"/>
        <v>93.12172405158894</v>
      </c>
      <c r="AB76" s="25">
        <f t="shared" si="9"/>
        <v>0.023155984392097484</v>
      </c>
    </row>
    <row r="77" spans="2:28" ht="17.25" thickBot="1" thickTop="1">
      <c r="B77" s="45" t="s">
        <v>45</v>
      </c>
      <c r="C77" s="45" t="s">
        <v>46</v>
      </c>
      <c r="D77" s="45" t="s">
        <v>47</v>
      </c>
      <c r="E77" s="49">
        <f>(9554*E72/B73)</f>
        <v>133.756</v>
      </c>
      <c r="F77" s="50" t="s">
        <v>43</v>
      </c>
      <c r="G77" s="11"/>
      <c r="H77" s="73">
        <f>($B$83+($B$85*0.2))</f>
        <v>0.11000000000000001</v>
      </c>
      <c r="I77" s="73">
        <f aca="true" t="shared" si="13" ref="I77:I82">((-$E$92*H77)+($E$103*(H77-$B$83)))</f>
        <v>-116.60776585928355</v>
      </c>
      <c r="J77" s="73">
        <f aca="true" t="shared" si="14" ref="J77:J88">((-$E$93*H77)+($E$110*(H77-$B$83)))</f>
        <v>-58.39404800000002</v>
      </c>
      <c r="K77" s="73">
        <f t="shared" si="0"/>
        <v>130.41179356377168</v>
      </c>
      <c r="L77" s="73">
        <f t="shared" si="1"/>
        <v>191.08</v>
      </c>
      <c r="M77" s="73">
        <f t="shared" si="2"/>
        <v>158.20808094747343</v>
      </c>
      <c r="N77" s="73">
        <f t="shared" si="3"/>
        <v>0.027630524756163587</v>
      </c>
      <c r="O77" s="26"/>
      <c r="U77" s="32">
        <v>11</v>
      </c>
      <c r="V77" s="32">
        <f t="shared" si="10"/>
        <v>0.022</v>
      </c>
      <c r="W77" s="25">
        <f t="shared" si="4"/>
        <v>-24.270419676085808</v>
      </c>
      <c r="X77" s="25">
        <f t="shared" si="5"/>
        <v>-14.012533333333336</v>
      </c>
      <c r="Y77" s="25">
        <f t="shared" si="6"/>
        <v>28.025066666666664</v>
      </c>
      <c r="Z77" s="25">
        <f t="shared" si="7"/>
        <v>191.08</v>
      </c>
      <c r="AA77" s="25">
        <f t="shared" si="8"/>
        <v>93.85076098910234</v>
      </c>
      <c r="AB77" s="25">
        <f t="shared" si="9"/>
        <v>0.023216255699197132</v>
      </c>
    </row>
    <row r="78" spans="2:28" ht="17.25" thickBot="1" thickTop="1">
      <c r="B78" s="78">
        <v>0.2</v>
      </c>
      <c r="C78" s="45" t="s">
        <v>48</v>
      </c>
      <c r="D78" s="45" t="s">
        <v>49</v>
      </c>
      <c r="E78" s="49">
        <f>(9554*B70/B73)</f>
        <v>57.324</v>
      </c>
      <c r="F78" s="50" t="s">
        <v>43</v>
      </c>
      <c r="G78" s="11"/>
      <c r="H78" s="73">
        <f>($B$83+($B$85*0.4))</f>
        <v>0.12000000000000001</v>
      </c>
      <c r="I78" s="73">
        <f t="shared" si="13"/>
        <v>-122.8954422818134</v>
      </c>
      <c r="J78" s="73">
        <f t="shared" si="14"/>
        <v>-53.09476266666669</v>
      </c>
      <c r="K78" s="73">
        <f t="shared" si="0"/>
        <v>133.8743573514816</v>
      </c>
      <c r="L78" s="73">
        <f t="shared" si="1"/>
        <v>191.08</v>
      </c>
      <c r="M78" s="73">
        <f t="shared" si="2"/>
        <v>161.07422057186773</v>
      </c>
      <c r="N78" s="73">
        <f t="shared" si="3"/>
        <v>0.02779638116158472</v>
      </c>
      <c r="O78" s="27"/>
      <c r="U78" s="32">
        <v>12</v>
      </c>
      <c r="V78" s="32">
        <f t="shared" si="10"/>
        <v>0.024</v>
      </c>
      <c r="W78" s="25">
        <f t="shared" si="4"/>
        <v>-26.476821464820887</v>
      </c>
      <c r="X78" s="25">
        <f t="shared" si="5"/>
        <v>-15.286400000000004</v>
      </c>
      <c r="Y78" s="25">
        <f t="shared" si="6"/>
        <v>30.572800000000004</v>
      </c>
      <c r="Z78" s="25">
        <f t="shared" si="7"/>
        <v>191.08</v>
      </c>
      <c r="AA78" s="25">
        <f t="shared" si="8"/>
        <v>94.64278671088728</v>
      </c>
      <c r="AB78" s="25">
        <f t="shared" si="9"/>
        <v>0.02328138174367629</v>
      </c>
    </row>
    <row r="79" spans="2:28" ht="17.25" thickBot="1" thickTop="1">
      <c r="B79" s="45" t="s">
        <v>50</v>
      </c>
      <c r="C79" s="46"/>
      <c r="D79" s="46"/>
      <c r="E79" s="47"/>
      <c r="F79" s="47"/>
      <c r="G79" s="11"/>
      <c r="H79" s="73">
        <f>($B$83+($B$85*0.6))</f>
        <v>0.13</v>
      </c>
      <c r="I79" s="73">
        <f t="shared" si="13"/>
        <v>-129.18311870434323</v>
      </c>
      <c r="J79" s="73">
        <f t="shared" si="14"/>
        <v>-47.79547733333336</v>
      </c>
      <c r="K79" s="73">
        <f t="shared" si="0"/>
        <v>137.74137291206887</v>
      </c>
      <c r="L79" s="73">
        <f t="shared" si="1"/>
        <v>191.08</v>
      </c>
      <c r="M79" s="73">
        <f t="shared" si="2"/>
        <v>164.30230305222176</v>
      </c>
      <c r="N79" s="73">
        <f t="shared" si="3"/>
        <v>0.027980843078386195</v>
      </c>
      <c r="O79" s="27"/>
      <c r="U79" s="32">
        <v>13</v>
      </c>
      <c r="V79" s="32">
        <f t="shared" si="10"/>
        <v>0.026000000000000002</v>
      </c>
      <c r="W79" s="25">
        <f t="shared" si="4"/>
        <v>-28.683223253555962</v>
      </c>
      <c r="X79" s="25">
        <f t="shared" si="5"/>
        <v>-16.560266666666674</v>
      </c>
      <c r="Y79" s="25">
        <f t="shared" si="6"/>
        <v>33.12053333333334</v>
      </c>
      <c r="Z79" s="25">
        <f t="shared" si="7"/>
        <v>191.08</v>
      </c>
      <c r="AA79" s="25">
        <f t="shared" si="8"/>
        <v>95.49623398253433</v>
      </c>
      <c r="AB79" s="25">
        <f t="shared" si="9"/>
        <v>0.02335115288074371</v>
      </c>
    </row>
    <row r="80" spans="2:28" ht="17.25" thickBot="1" thickTop="1">
      <c r="B80" s="78">
        <v>0.25</v>
      </c>
      <c r="C80" s="46"/>
      <c r="D80" s="46"/>
      <c r="E80" s="47"/>
      <c r="F80" s="47"/>
      <c r="G80" s="11"/>
      <c r="H80" s="73">
        <f>($B$83+($B$85*0.8))</f>
        <v>0.14</v>
      </c>
      <c r="I80" s="73">
        <f t="shared" si="13"/>
        <v>-135.4707951268731</v>
      </c>
      <c r="J80" s="73">
        <f t="shared" si="14"/>
        <v>-42.49619200000002</v>
      </c>
      <c r="K80" s="73">
        <f t="shared" si="0"/>
        <v>141.97979668533156</v>
      </c>
      <c r="L80" s="73">
        <f t="shared" si="1"/>
        <v>191.08</v>
      </c>
      <c r="M80" s="73">
        <f t="shared" si="2"/>
        <v>167.871449756564</v>
      </c>
      <c r="N80" s="73">
        <f t="shared" si="3"/>
        <v>0.028182003157363824</v>
      </c>
      <c r="O80" s="27"/>
      <c r="Q80" s="13" t="s">
        <v>51</v>
      </c>
      <c r="U80" s="32">
        <v>14</v>
      </c>
      <c r="V80" s="32">
        <f t="shared" si="10"/>
        <v>0.028</v>
      </c>
      <c r="W80" s="25">
        <f t="shared" si="4"/>
        <v>-30.889625042291033</v>
      </c>
      <c r="X80" s="25">
        <f t="shared" si="5"/>
        <v>-17.834133333333337</v>
      </c>
      <c r="Y80" s="25">
        <f t="shared" si="6"/>
        <v>35.66826666666667</v>
      </c>
      <c r="Z80" s="25">
        <f t="shared" si="7"/>
        <v>191.08</v>
      </c>
      <c r="AA80" s="25">
        <f t="shared" si="8"/>
        <v>96.40947164862457</v>
      </c>
      <c r="AB80" s="25">
        <f t="shared" si="9"/>
        <v>0.023425353130419987</v>
      </c>
    </row>
    <row r="81" spans="2:28" ht="17.25" thickBot="1" thickTop="1">
      <c r="B81" s="45" t="s">
        <v>52</v>
      </c>
      <c r="C81" s="67" t="s">
        <v>53</v>
      </c>
      <c r="D81" s="46"/>
      <c r="E81" s="47"/>
      <c r="F81" s="47"/>
      <c r="G81" s="11"/>
      <c r="H81" s="73">
        <f>($B$83+$B$85)</f>
        <v>0.15000000000000002</v>
      </c>
      <c r="I81" s="73">
        <f t="shared" si="13"/>
        <v>-141.75847154940294</v>
      </c>
      <c r="J81" s="73">
        <f t="shared" si="14"/>
        <v>-37.19690666666667</v>
      </c>
      <c r="K81" s="73">
        <f t="shared" si="0"/>
        <v>146.55740896178398</v>
      </c>
      <c r="L81" s="73">
        <f t="shared" si="1"/>
        <v>191.08</v>
      </c>
      <c r="M81" s="73">
        <f t="shared" si="2"/>
        <v>171.7604002619757</v>
      </c>
      <c r="N81" s="73">
        <f t="shared" si="3"/>
        <v>0.028397967644353466</v>
      </c>
      <c r="O81" s="25" t="s">
        <v>54</v>
      </c>
      <c r="P81" s="12"/>
      <c r="U81" s="32">
        <v>15</v>
      </c>
      <c r="V81" s="32">
        <f t="shared" si="10"/>
        <v>0.03</v>
      </c>
      <c r="W81" s="25">
        <f t="shared" si="4"/>
        <v>-33.09602683102611</v>
      </c>
      <c r="X81" s="25">
        <f t="shared" si="5"/>
        <v>-19.108000000000004</v>
      </c>
      <c r="Y81" s="25">
        <f t="shared" si="6"/>
        <v>38.216</v>
      </c>
      <c r="Z81" s="25">
        <f t="shared" si="7"/>
        <v>191.08</v>
      </c>
      <c r="AA81" s="25">
        <f t="shared" si="8"/>
        <v>97.3808175800681</v>
      </c>
      <c r="AB81" s="25">
        <f t="shared" si="9"/>
        <v>0.023503762192701897</v>
      </c>
    </row>
    <row r="82" spans="2:28" ht="17.25" thickBot="1" thickTop="1">
      <c r="B82" s="45" t="s">
        <v>55</v>
      </c>
      <c r="C82" s="52" t="s">
        <v>56</v>
      </c>
      <c r="D82" s="46"/>
      <c r="E82" s="47"/>
      <c r="F82" s="47"/>
      <c r="G82" s="11"/>
      <c r="H82" s="74">
        <f>($B$83+$B$85)</f>
        <v>0.15000000000000002</v>
      </c>
      <c r="I82" s="74">
        <f t="shared" si="13"/>
        <v>-141.75847154940294</v>
      </c>
      <c r="J82" s="74">
        <f t="shared" si="14"/>
        <v>-37.19690666666667</v>
      </c>
      <c r="K82" s="74">
        <f t="shared" si="0"/>
        <v>146.55740896178398</v>
      </c>
      <c r="L82" s="74">
        <f aca="true" t="shared" si="15" ref="L82:L87">($E$78)</f>
        <v>57.324</v>
      </c>
      <c r="M82" s="74">
        <f t="shared" si="2"/>
        <v>149.00035103811743</v>
      </c>
      <c r="N82" s="74">
        <f t="shared" si="3"/>
        <v>0.027083742499849257</v>
      </c>
      <c r="O82" s="28"/>
      <c r="U82" s="32">
        <v>16</v>
      </c>
      <c r="V82" s="32">
        <f t="shared" si="10"/>
        <v>0.032</v>
      </c>
      <c r="W82" s="25">
        <f t="shared" si="4"/>
        <v>-35.30242861976118</v>
      </c>
      <c r="X82" s="25">
        <f t="shared" si="5"/>
        <v>-20.381866666666674</v>
      </c>
      <c r="Y82" s="25">
        <f t="shared" si="6"/>
        <v>40.763733333333334</v>
      </c>
      <c r="Z82" s="25">
        <f t="shared" si="7"/>
        <v>191.08</v>
      </c>
      <c r="AA82" s="25">
        <f t="shared" si="8"/>
        <v>98.408551111342</v>
      </c>
      <c r="AB82" s="25">
        <f t="shared" si="9"/>
        <v>0.02358615734475179</v>
      </c>
    </row>
    <row r="83" spans="2:28" ht="17.25" thickBot="1" thickTop="1">
      <c r="B83" s="78">
        <v>0.1</v>
      </c>
      <c r="C83" s="52" t="s">
        <v>57</v>
      </c>
      <c r="D83" s="46"/>
      <c r="E83" s="47"/>
      <c r="F83" s="47"/>
      <c r="G83" s="11"/>
      <c r="H83" s="75">
        <f>($B$83+$B$85+($B$87*0.2))</f>
        <v>0.16000000000000003</v>
      </c>
      <c r="I83" s="75">
        <f aca="true" t="shared" si="16" ref="I83:I102">((-$E$92*H83)+($E$103*(H83-$B$83))+($E$85*(H83-$B$83-$B$85)))</f>
        <v>-134.6705479719328</v>
      </c>
      <c r="J83" s="75">
        <f t="shared" si="14"/>
        <v>-31.897621333333333</v>
      </c>
      <c r="K83" s="75">
        <f t="shared" si="0"/>
        <v>138.39658499321928</v>
      </c>
      <c r="L83" s="75">
        <f t="shared" si="15"/>
        <v>57.324</v>
      </c>
      <c r="M83" s="75">
        <f t="shared" si="2"/>
        <v>140.98101015979418</v>
      </c>
      <c r="N83" s="75">
        <f t="shared" si="3"/>
        <v>0.02658886413726667</v>
      </c>
      <c r="O83" s="27"/>
      <c r="U83" s="32">
        <v>17</v>
      </c>
      <c r="V83" s="32">
        <f t="shared" si="10"/>
        <v>0.034</v>
      </c>
      <c r="W83" s="25">
        <f t="shared" si="4"/>
        <v>-37.50883040849626</v>
      </c>
      <c r="X83" s="25">
        <f t="shared" si="5"/>
        <v>-21.65573333333334</v>
      </c>
      <c r="Y83" s="25">
        <f t="shared" si="6"/>
        <v>43.311466666666675</v>
      </c>
      <c r="Z83" s="25">
        <f t="shared" si="7"/>
        <v>191.08</v>
      </c>
      <c r="AA83" s="25">
        <f t="shared" si="8"/>
        <v>99.49092481920289</v>
      </c>
      <c r="AB83" s="25">
        <f t="shared" si="9"/>
        <v>0.023672315197175615</v>
      </c>
    </row>
    <row r="84" spans="2:28" ht="17.25" thickBot="1" thickTop="1">
      <c r="B84" s="45" t="s">
        <v>58</v>
      </c>
      <c r="C84" s="45" t="s">
        <v>59</v>
      </c>
      <c r="D84" s="45" t="s">
        <v>60</v>
      </c>
      <c r="E84" s="49">
        <f>(2*E76/B76)</f>
        <v>1273.8666666666668</v>
      </c>
      <c r="F84" s="50" t="s">
        <v>61</v>
      </c>
      <c r="G84" s="11"/>
      <c r="H84" s="73">
        <f>($B$83+$B$85+($B$87*0.4))</f>
        <v>0.17000000000000004</v>
      </c>
      <c r="I84" s="73">
        <f t="shared" si="16"/>
        <v>-127.58262439446261</v>
      </c>
      <c r="J84" s="73">
        <f t="shared" si="14"/>
        <v>-26.598336000000003</v>
      </c>
      <c r="K84" s="73">
        <f t="shared" si="0"/>
        <v>130.32573623558557</v>
      </c>
      <c r="L84" s="73">
        <f t="shared" si="15"/>
        <v>57.324</v>
      </c>
      <c r="M84" s="73">
        <f t="shared" si="2"/>
        <v>133.06700572733288</v>
      </c>
      <c r="N84" s="73">
        <f t="shared" si="3"/>
        <v>0.026081728736028625</v>
      </c>
      <c r="O84" s="27"/>
      <c r="U84" s="32">
        <v>18</v>
      </c>
      <c r="V84" s="32">
        <f t="shared" si="10"/>
        <v>0.036000000000000004</v>
      </c>
      <c r="W84" s="25">
        <f t="shared" si="4"/>
        <v>-39.71523219723133</v>
      </c>
      <c r="X84" s="25">
        <f t="shared" si="5"/>
        <v>-22.929600000000008</v>
      </c>
      <c r="Y84" s="25">
        <f t="shared" si="6"/>
        <v>45.85920000000001</v>
      </c>
      <c r="Z84" s="25">
        <f t="shared" si="7"/>
        <v>191.08</v>
      </c>
      <c r="AA84" s="25">
        <f t="shared" si="8"/>
        <v>100.62617552705908</v>
      </c>
      <c r="AB84" s="25">
        <f t="shared" si="9"/>
        <v>0.023762013292930387</v>
      </c>
    </row>
    <row r="85" spans="2:28" ht="17.25" thickBot="1" thickTop="1">
      <c r="B85" s="78">
        <v>0.05</v>
      </c>
      <c r="C85" s="45" t="s">
        <v>62</v>
      </c>
      <c r="D85" s="45" t="s">
        <v>63</v>
      </c>
      <c r="E85" s="49">
        <f>(2*E77/B78)</f>
        <v>1337.56</v>
      </c>
      <c r="F85" s="50" t="s">
        <v>61</v>
      </c>
      <c r="G85" s="11"/>
      <c r="H85" s="73">
        <f>($B$83+$B$85+($B$87*0.6))</f>
        <v>0.18000000000000002</v>
      </c>
      <c r="I85" s="73">
        <f t="shared" si="16"/>
        <v>-120.49470081699248</v>
      </c>
      <c r="J85" s="73">
        <f t="shared" si="14"/>
        <v>-21.299050666666673</v>
      </c>
      <c r="K85" s="73">
        <f t="shared" si="0"/>
        <v>122.36266785371166</v>
      </c>
      <c r="L85" s="73">
        <f t="shared" si="15"/>
        <v>57.324</v>
      </c>
      <c r="M85" s="73">
        <f t="shared" si="2"/>
        <v>125.27830208048154</v>
      </c>
      <c r="N85" s="73">
        <f t="shared" si="3"/>
        <v>0.02556259062931206</v>
      </c>
      <c r="O85" s="27"/>
      <c r="U85" s="32">
        <v>19</v>
      </c>
      <c r="V85" s="32">
        <f t="shared" si="10"/>
        <v>0.038</v>
      </c>
      <c r="W85" s="25">
        <f t="shared" si="4"/>
        <v>-41.9216339859664</v>
      </c>
      <c r="X85" s="25">
        <f t="shared" si="5"/>
        <v>-24.203466666666674</v>
      </c>
      <c r="Y85" s="25">
        <f t="shared" si="6"/>
        <v>48.40693333333334</v>
      </c>
      <c r="Z85" s="25">
        <f t="shared" si="7"/>
        <v>191.08</v>
      </c>
      <c r="AA85" s="25">
        <f t="shared" si="8"/>
        <v>101.81253445082427</v>
      </c>
      <c r="AB85" s="25">
        <f t="shared" si="9"/>
        <v>0.023855031538502137</v>
      </c>
    </row>
    <row r="86" spans="2:28" ht="17.25" thickBot="1" thickTop="1">
      <c r="B86" s="45" t="s">
        <v>64</v>
      </c>
      <c r="C86" s="45" t="s">
        <v>65</v>
      </c>
      <c r="D86" s="45" t="s">
        <v>66</v>
      </c>
      <c r="E86" s="49">
        <f>(2*E78/B80)</f>
        <v>458.592</v>
      </c>
      <c r="F86" s="50" t="s">
        <v>61</v>
      </c>
      <c r="G86" s="11"/>
      <c r="H86" s="73">
        <f>($B$83+$B$85+($B$87*0.8))</f>
        <v>0.19000000000000003</v>
      </c>
      <c r="I86" s="73">
        <f t="shared" si="16"/>
        <v>-113.40677723952234</v>
      </c>
      <c r="J86" s="73">
        <f t="shared" si="14"/>
        <v>-15.999765333333343</v>
      </c>
      <c r="K86" s="73">
        <f t="shared" si="0"/>
        <v>114.52986341813379</v>
      </c>
      <c r="L86" s="73">
        <f t="shared" si="15"/>
        <v>57.324</v>
      </c>
      <c r="M86" s="73">
        <f t="shared" si="2"/>
        <v>117.63978962267403</v>
      </c>
      <c r="N86" s="73">
        <f t="shared" si="3"/>
        <v>0.0250321215282332</v>
      </c>
      <c r="O86" s="27"/>
      <c r="U86" s="32">
        <v>20</v>
      </c>
      <c r="V86" s="32">
        <f t="shared" si="10"/>
        <v>0.04</v>
      </c>
      <c r="W86" s="25">
        <f t="shared" si="4"/>
        <v>-44.12803577470147</v>
      </c>
      <c r="X86" s="25">
        <f t="shared" si="5"/>
        <v>-25.47733333333334</v>
      </c>
      <c r="Y86" s="25">
        <f t="shared" si="6"/>
        <v>50.95466666666667</v>
      </c>
      <c r="Z86" s="25">
        <f t="shared" si="7"/>
        <v>191.08</v>
      </c>
      <c r="AA86" s="25">
        <f t="shared" si="8"/>
        <v>103.04823643165182</v>
      </c>
      <c r="AB86" s="25">
        <f t="shared" si="9"/>
        <v>0.023951153462521142</v>
      </c>
    </row>
    <row r="87" spans="2:28" ht="17.25" thickBot="1" thickTop="1">
      <c r="B87" s="78">
        <v>0.05</v>
      </c>
      <c r="C87" s="46"/>
      <c r="D87" s="46"/>
      <c r="E87" s="47"/>
      <c r="F87" s="47"/>
      <c r="G87" s="11"/>
      <c r="H87" s="73">
        <f>($B$83+$B$85+$B$87)</f>
        <v>0.2</v>
      </c>
      <c r="I87" s="73">
        <f t="shared" si="16"/>
        <v>-106.3188536620522</v>
      </c>
      <c r="J87" s="73">
        <f t="shared" si="14"/>
        <v>-10.700480000000027</v>
      </c>
      <c r="K87" s="73">
        <f t="shared" si="0"/>
        <v>106.85597276822325</v>
      </c>
      <c r="L87" s="73">
        <f t="shared" si="15"/>
        <v>57.324</v>
      </c>
      <c r="M87" s="73">
        <f aca="true" t="shared" si="17" ref="M87:M103">((K87^2)+($E$135*L87)^2)^0.5</f>
        <v>110.18270918857411</v>
      </c>
      <c r="N87" s="73">
        <f t="shared" si="3"/>
        <v>0.02449161334038562</v>
      </c>
      <c r="O87" s="40" t="s">
        <v>67</v>
      </c>
      <c r="P87" s="12"/>
      <c r="U87" s="32">
        <v>21</v>
      </c>
      <c r="V87" s="32">
        <f t="shared" si="10"/>
        <v>0.042</v>
      </c>
      <c r="W87" s="25">
        <f t="shared" si="4"/>
        <v>-46.33443756343655</v>
      </c>
      <c r="X87" s="25">
        <f t="shared" si="5"/>
        <v>-26.751200000000008</v>
      </c>
      <c r="Y87" s="25">
        <f t="shared" si="6"/>
        <v>53.50240000000001</v>
      </c>
      <c r="Z87" s="25">
        <f t="shared" si="7"/>
        <v>191.08</v>
      </c>
      <c r="AA87" s="25">
        <f t="shared" si="8"/>
        <v>104.33152822767671</v>
      </c>
      <c r="AB87" s="25">
        <f t="shared" si="9"/>
        <v>0.024050167301799596</v>
      </c>
    </row>
    <row r="88" spans="2:28" ht="17.25" thickBot="1" thickTop="1">
      <c r="B88" s="45" t="s">
        <v>68</v>
      </c>
      <c r="C88" s="67" t="s">
        <v>69</v>
      </c>
      <c r="D88" s="46"/>
      <c r="E88" s="47"/>
      <c r="F88" s="47"/>
      <c r="G88" s="11"/>
      <c r="H88" s="74">
        <f>($B$83+$B$85+$B$87)</f>
        <v>0.2</v>
      </c>
      <c r="I88" s="74">
        <f t="shared" si="16"/>
        <v>-106.3188536620522</v>
      </c>
      <c r="J88" s="74">
        <f t="shared" si="14"/>
        <v>-10.700480000000027</v>
      </c>
      <c r="K88" s="74">
        <f t="shared" si="0"/>
        <v>106.85597276822325</v>
      </c>
      <c r="L88" s="74">
        <v>0</v>
      </c>
      <c r="M88" s="74">
        <f t="shared" si="17"/>
        <v>106.85597276822325</v>
      </c>
      <c r="N88" s="74">
        <f t="shared" si="3"/>
        <v>0.024242599100951803</v>
      </c>
      <c r="O88" s="28"/>
      <c r="U88" s="32">
        <v>22</v>
      </c>
      <c r="V88" s="32">
        <f t="shared" si="10"/>
        <v>0.044</v>
      </c>
      <c r="W88" s="25">
        <f t="shared" si="4"/>
        <v>-48.540839352171616</v>
      </c>
      <c r="X88" s="25">
        <f t="shared" si="5"/>
        <v>-28.02506666666667</v>
      </c>
      <c r="Y88" s="25">
        <f t="shared" si="6"/>
        <v>56.05013333333333</v>
      </c>
      <c r="Z88" s="25">
        <f t="shared" si="7"/>
        <v>191.08</v>
      </c>
      <c r="AA88" s="25">
        <f t="shared" si="8"/>
        <v>105.66067586026007</v>
      </c>
      <c r="AB88" s="25">
        <f t="shared" si="9"/>
        <v>0.02415186691881666</v>
      </c>
    </row>
    <row r="89" spans="2:28" ht="17.25" thickBot="1" thickTop="1">
      <c r="B89" s="78">
        <v>0.35</v>
      </c>
      <c r="C89" s="46"/>
      <c r="D89" s="45" t="s">
        <v>70</v>
      </c>
      <c r="E89" s="49">
        <f>RADIANS(B91)</f>
        <v>1.0471975511965976</v>
      </c>
      <c r="F89" s="50" t="s">
        <v>71</v>
      </c>
      <c r="G89" s="11"/>
      <c r="H89" s="75">
        <f>($B$83+$B$85+$B$87+(1*$E$96/15))</f>
        <v>0.21000000000000002</v>
      </c>
      <c r="I89" s="75">
        <f t="shared" si="16"/>
        <v>-99.23093008458204</v>
      </c>
      <c r="J89" s="75">
        <f aca="true" t="shared" si="18" ref="J89:J102">((-$E$93*H89)+($E$110*(H89-$B$83))-($E$86*(H89-$B$83-$B$85-$B$87)))</f>
        <v>-9.987114666666702</v>
      </c>
      <c r="K89" s="75">
        <f t="shared" si="0"/>
        <v>99.7322412503417</v>
      </c>
      <c r="L89" s="75">
        <v>0</v>
      </c>
      <c r="M89" s="75">
        <f t="shared" si="17"/>
        <v>99.7322412503417</v>
      </c>
      <c r="N89" s="75">
        <f t="shared" si="3"/>
        <v>0.02369143890535955</v>
      </c>
      <c r="O89" s="27"/>
      <c r="U89" s="32">
        <v>23</v>
      </c>
      <c r="V89" s="32">
        <f t="shared" si="10"/>
        <v>0.046</v>
      </c>
      <c r="W89" s="25">
        <f t="shared" si="4"/>
        <v>-50.747241140906695</v>
      </c>
      <c r="X89" s="25">
        <f t="shared" si="5"/>
        <v>-29.29893333333334</v>
      </c>
      <c r="Y89" s="25">
        <f t="shared" si="6"/>
        <v>58.59786666666667</v>
      </c>
      <c r="Z89" s="25">
        <f t="shared" si="7"/>
        <v>191.08</v>
      </c>
      <c r="AA89" s="25">
        <f t="shared" si="8"/>
        <v>107.03397102998163</v>
      </c>
      <c r="AB89" s="25">
        <f t="shared" si="9"/>
        <v>0.0242560525579198</v>
      </c>
    </row>
    <row r="90" spans="2:28" ht="17.25" thickBot="1" thickTop="1">
      <c r="B90" s="45" t="s">
        <v>72</v>
      </c>
      <c r="C90" s="45" t="s">
        <v>73</v>
      </c>
      <c r="D90" s="45" t="s">
        <v>74</v>
      </c>
      <c r="E90" s="49">
        <f>SIN(E89)</f>
        <v>0.8660254037844386</v>
      </c>
      <c r="F90" s="47"/>
      <c r="G90" s="11"/>
      <c r="H90" s="73">
        <f>($B$83+$B$85+$B$87+(2*$E$96/15))</f>
        <v>0.22</v>
      </c>
      <c r="I90" s="73">
        <f t="shared" si="16"/>
        <v>-92.1430065071119</v>
      </c>
      <c r="J90" s="73">
        <f t="shared" si="18"/>
        <v>-9.273749333333363</v>
      </c>
      <c r="K90" s="73">
        <f t="shared" si="0"/>
        <v>92.60850973246016</v>
      </c>
      <c r="L90" s="73">
        <v>0</v>
      </c>
      <c r="M90" s="73">
        <f t="shared" si="17"/>
        <v>92.60850973246016</v>
      </c>
      <c r="N90" s="73">
        <f t="shared" si="3"/>
        <v>0.02311336676187961</v>
      </c>
      <c r="O90" s="27"/>
      <c r="U90" s="32">
        <v>24</v>
      </c>
      <c r="V90" s="32">
        <f t="shared" si="10"/>
        <v>0.048</v>
      </c>
      <c r="W90" s="25">
        <f t="shared" si="4"/>
        <v>-52.953642929641774</v>
      </c>
      <c r="X90" s="25">
        <f t="shared" si="5"/>
        <v>-30.572800000000008</v>
      </c>
      <c r="Y90" s="25">
        <f t="shared" si="6"/>
        <v>61.14560000000001</v>
      </c>
      <c r="Z90" s="25">
        <f t="shared" si="7"/>
        <v>191.08</v>
      </c>
      <c r="AA90" s="25">
        <f t="shared" si="8"/>
        <v>108.44973663371664</v>
      </c>
      <c r="AB90" s="25">
        <f t="shared" si="9"/>
        <v>0.024362531449982856</v>
      </c>
    </row>
    <row r="91" spans="2:28" ht="17.25" thickBot="1" thickTop="1">
      <c r="B91" s="48">
        <v>60</v>
      </c>
      <c r="C91" s="45" t="s">
        <v>75</v>
      </c>
      <c r="D91" s="45" t="s">
        <v>76</v>
      </c>
      <c r="E91" s="49">
        <f>COS(E89)</f>
        <v>0.5000000000000001</v>
      </c>
      <c r="F91" s="47"/>
      <c r="G91" s="11"/>
      <c r="H91" s="73">
        <f>($B$83+$B$85+$B$87+(3*$E$96/15))</f>
        <v>0.23</v>
      </c>
      <c r="I91" s="73">
        <f t="shared" si="16"/>
        <v>-85.05508292964176</v>
      </c>
      <c r="J91" s="73">
        <f t="shared" si="18"/>
        <v>-8.560384000000008</v>
      </c>
      <c r="K91" s="73">
        <f t="shared" si="0"/>
        <v>85.48477821457861</v>
      </c>
      <c r="L91" s="73">
        <v>0</v>
      </c>
      <c r="M91" s="73">
        <f t="shared" si="17"/>
        <v>85.48477821457861</v>
      </c>
      <c r="N91" s="73">
        <f t="shared" si="3"/>
        <v>0.022504835456945815</v>
      </c>
      <c r="O91" s="27"/>
      <c r="Q91" s="13" t="s">
        <v>77</v>
      </c>
      <c r="U91" s="32">
        <v>25</v>
      </c>
      <c r="V91" s="32">
        <f t="shared" si="10"/>
        <v>0.05</v>
      </c>
      <c r="W91" s="25">
        <f t="shared" si="4"/>
        <v>-55.160044718376845</v>
      </c>
      <c r="X91" s="25">
        <f t="shared" si="5"/>
        <v>-31.84666666666668</v>
      </c>
      <c r="Y91" s="25">
        <f t="shared" si="6"/>
        <v>63.69333333333334</v>
      </c>
      <c r="Z91" s="25">
        <f t="shared" si="7"/>
        <v>191.08</v>
      </c>
      <c r="AA91" s="25">
        <f t="shared" si="8"/>
        <v>109.90633142669085</v>
      </c>
      <c r="AB91" s="25">
        <f t="shared" si="9"/>
        <v>0.02447111827701641</v>
      </c>
    </row>
    <row r="92" spans="2:28" ht="17.25" thickBot="1" thickTop="1">
      <c r="B92" s="45" t="s">
        <v>78</v>
      </c>
      <c r="C92" s="45" t="s">
        <v>79</v>
      </c>
      <c r="D92" s="45" t="s">
        <v>80</v>
      </c>
      <c r="E92" s="49">
        <f>(E84*E90)</f>
        <v>1103.2008943675369</v>
      </c>
      <c r="F92" s="50" t="s">
        <v>61</v>
      </c>
      <c r="G92" s="11"/>
      <c r="H92" s="73">
        <f>($B$83+$B$85+$B$87+(4*$E$96/15))</f>
        <v>0.24</v>
      </c>
      <c r="I92" s="73">
        <f t="shared" si="16"/>
        <v>-77.96715935217166</v>
      </c>
      <c r="J92" s="73">
        <f t="shared" si="18"/>
        <v>-7.847018666666671</v>
      </c>
      <c r="K92" s="73">
        <f t="shared" si="0"/>
        <v>78.36104669669712</v>
      </c>
      <c r="L92" s="73">
        <v>0</v>
      </c>
      <c r="M92" s="73">
        <f t="shared" si="17"/>
        <v>78.36104669669712</v>
      </c>
      <c r="N92" s="73">
        <f t="shared" si="3"/>
        <v>0.021861484786869903</v>
      </c>
      <c r="O92" s="27"/>
      <c r="U92" s="32">
        <v>26</v>
      </c>
      <c r="V92" s="32">
        <f t="shared" si="10"/>
        <v>0.052000000000000005</v>
      </c>
      <c r="W92" s="25">
        <f t="shared" si="4"/>
        <v>-57.366446507111924</v>
      </c>
      <c r="X92" s="25">
        <f t="shared" si="5"/>
        <v>-33.12053333333335</v>
      </c>
      <c r="Y92" s="25">
        <f t="shared" si="6"/>
        <v>66.24106666666668</v>
      </c>
      <c r="Z92" s="25">
        <f t="shared" si="7"/>
        <v>191.08</v>
      </c>
      <c r="AA92" s="25">
        <f t="shared" si="8"/>
        <v>111.40215388267985</v>
      </c>
      <c r="AB92" s="25">
        <f t="shared" si="9"/>
        <v>0.024581635509342326</v>
      </c>
    </row>
    <row r="93" spans="2:28" ht="17.25" thickBot="1" thickTop="1">
      <c r="B93" s="45" t="s">
        <v>81</v>
      </c>
      <c r="C93" s="45" t="s">
        <v>82</v>
      </c>
      <c r="D93" s="45" t="s">
        <v>83</v>
      </c>
      <c r="E93" s="49">
        <f>(E84*E91)</f>
        <v>636.9333333333335</v>
      </c>
      <c r="F93" s="50" t="s">
        <v>61</v>
      </c>
      <c r="G93" s="11"/>
      <c r="H93" s="73">
        <f>($B$83+$B$85+$B$87+(5*$E$96/15))</f>
        <v>0.25</v>
      </c>
      <c r="I93" s="73">
        <f t="shared" si="16"/>
        <v>-70.8792357747015</v>
      </c>
      <c r="J93" s="73">
        <f t="shared" si="18"/>
        <v>-7.133653333333342</v>
      </c>
      <c r="K93" s="73">
        <f t="shared" si="0"/>
        <v>71.23731517881554</v>
      </c>
      <c r="L93" s="73">
        <v>0</v>
      </c>
      <c r="M93" s="73">
        <f t="shared" si="17"/>
        <v>71.23731517881554</v>
      </c>
      <c r="N93" s="73">
        <f t="shared" si="3"/>
        <v>0.021177860989025268</v>
      </c>
      <c r="O93" s="27"/>
      <c r="U93" s="32">
        <v>27</v>
      </c>
      <c r="V93" s="32">
        <f t="shared" si="10"/>
        <v>0.054</v>
      </c>
      <c r="W93" s="25">
        <f t="shared" si="4"/>
        <v>-59.57284829584699</v>
      </c>
      <c r="X93" s="25">
        <f t="shared" si="5"/>
        <v>-34.39440000000001</v>
      </c>
      <c r="Y93" s="25">
        <f t="shared" si="6"/>
        <v>68.7888</v>
      </c>
      <c r="Z93" s="25">
        <f t="shared" si="7"/>
        <v>191.08</v>
      </c>
      <c r="AA93" s="25">
        <f t="shared" si="8"/>
        <v>112.93564531184342</v>
      </c>
      <c r="AB93" s="25">
        <f t="shared" si="9"/>
        <v>0.024693913628508517</v>
      </c>
    </row>
    <row r="94" spans="2:28" ht="17.25" thickBot="1" thickTop="1">
      <c r="B94" s="48">
        <v>75</v>
      </c>
      <c r="C94" s="46"/>
      <c r="D94" s="46"/>
      <c r="E94" s="47"/>
      <c r="F94" s="47"/>
      <c r="G94" s="11"/>
      <c r="H94" s="73">
        <f>($B$83+$B$85+$B$87+(6*$E$96/15))</f>
        <v>0.26</v>
      </c>
      <c r="I94" s="73">
        <f t="shared" si="16"/>
        <v>-63.79131219723129</v>
      </c>
      <c r="J94" s="73">
        <f t="shared" si="18"/>
        <v>-6.420288000000017</v>
      </c>
      <c r="K94" s="73">
        <f t="shared" si="0"/>
        <v>64.11358366093393</v>
      </c>
      <c r="L94" s="73">
        <v>0</v>
      </c>
      <c r="M94" s="73">
        <f t="shared" si="17"/>
        <v>64.11358366093393</v>
      </c>
      <c r="N94" s="73">
        <f t="shared" si="3"/>
        <v>0.020446999973557575</v>
      </c>
      <c r="O94" s="27"/>
      <c r="U94" s="32">
        <v>28</v>
      </c>
      <c r="V94" s="32">
        <f t="shared" si="10"/>
        <v>0.056</v>
      </c>
      <c r="W94" s="25">
        <f t="shared" si="4"/>
        <v>-61.77925008458207</v>
      </c>
      <c r="X94" s="25">
        <f t="shared" si="5"/>
        <v>-35.668266666666675</v>
      </c>
      <c r="Y94" s="25">
        <f t="shared" si="6"/>
        <v>71.33653333333334</v>
      </c>
      <c r="Z94" s="25">
        <f t="shared" si="7"/>
        <v>191.08</v>
      </c>
      <c r="AA94" s="25">
        <f t="shared" si="8"/>
        <v>114.50529229944037</v>
      </c>
      <c r="AB94" s="25">
        <f t="shared" si="9"/>
        <v>0.02480779124922709</v>
      </c>
    </row>
    <row r="95" spans="2:28" ht="21.75" thickBot="1" thickTop="1">
      <c r="B95" s="45" t="s">
        <v>84</v>
      </c>
      <c r="C95" s="41" t="s">
        <v>85</v>
      </c>
      <c r="D95" s="46"/>
      <c r="E95" s="47"/>
      <c r="F95" s="47"/>
      <c r="G95" s="11"/>
      <c r="H95" s="73">
        <f>($B$83+$B$85+$B$87+(7*$E$96/15))</f>
        <v>0.27</v>
      </c>
      <c r="I95" s="73">
        <f t="shared" si="16"/>
        <v>-56.70338861976114</v>
      </c>
      <c r="J95" s="73">
        <f t="shared" si="18"/>
        <v>-5.706922666666692</v>
      </c>
      <c r="K95" s="73">
        <f t="shared" si="0"/>
        <v>56.98985214305238</v>
      </c>
      <c r="L95" s="73">
        <v>0</v>
      </c>
      <c r="M95" s="73">
        <f t="shared" si="17"/>
        <v>56.98985214305238</v>
      </c>
      <c r="N95" s="73">
        <f t="shared" si="3"/>
        <v>0.019659784617292664</v>
      </c>
      <c r="O95" s="27"/>
      <c r="U95" s="32">
        <v>29</v>
      </c>
      <c r="V95" s="32">
        <f t="shared" si="10"/>
        <v>0.058</v>
      </c>
      <c r="W95" s="25">
        <f t="shared" si="4"/>
        <v>-63.985651873317146</v>
      </c>
      <c r="X95" s="25">
        <f t="shared" si="5"/>
        <v>-36.942133333333345</v>
      </c>
      <c r="Y95" s="25">
        <f t="shared" si="6"/>
        <v>73.88426666666668</v>
      </c>
      <c r="Z95" s="25">
        <f t="shared" si="7"/>
        <v>191.08</v>
      </c>
      <c r="AA95" s="25">
        <f t="shared" si="8"/>
        <v>116.10962853025417</v>
      </c>
      <c r="AB95" s="25">
        <f t="shared" si="9"/>
        <v>0.0249231151533592</v>
      </c>
    </row>
    <row r="96" spans="2:28" ht="17.25" thickBot="1" thickTop="1">
      <c r="B96" s="48">
        <v>80</v>
      </c>
      <c r="C96" s="45" t="s">
        <v>86</v>
      </c>
      <c r="D96" s="45" t="s">
        <v>87</v>
      </c>
      <c r="E96" s="49">
        <f>(B89-(B83+B85+B87))</f>
        <v>0.14999999999999997</v>
      </c>
      <c r="F96" s="50" t="s">
        <v>88</v>
      </c>
      <c r="G96" s="11"/>
      <c r="H96" s="73">
        <f>($B$83+$B$85+$B$87+(8*$E$96/15))</f>
        <v>0.28</v>
      </c>
      <c r="I96" s="73">
        <f t="shared" si="16"/>
        <v>-49.61546504229099</v>
      </c>
      <c r="J96" s="73">
        <f t="shared" si="18"/>
        <v>-4.9935573333333565</v>
      </c>
      <c r="K96" s="73">
        <f t="shared" si="0"/>
        <v>49.866120625170815</v>
      </c>
      <c r="L96" s="73">
        <v>0</v>
      </c>
      <c r="M96" s="73">
        <f t="shared" si="17"/>
        <v>49.866120625170815</v>
      </c>
      <c r="N96" s="73">
        <f t="shared" si="3"/>
        <v>0.018803907520504037</v>
      </c>
      <c r="O96" s="27"/>
      <c r="U96" s="32">
        <v>30</v>
      </c>
      <c r="V96" s="32">
        <f t="shared" si="10"/>
        <v>0.06</v>
      </c>
      <c r="W96" s="25">
        <f t="shared" si="4"/>
        <v>-66.19205366205222</v>
      </c>
      <c r="X96" s="25">
        <f t="shared" si="5"/>
        <v>-38.21600000000001</v>
      </c>
      <c r="Y96" s="25">
        <f t="shared" si="6"/>
        <v>76.432</v>
      </c>
      <c r="Z96" s="25">
        <f t="shared" si="7"/>
        <v>191.08</v>
      </c>
      <c r="AA96" s="25">
        <f t="shared" si="8"/>
        <v>117.74723606336796</v>
      </c>
      <c r="AB96" s="25">
        <f t="shared" si="9"/>
        <v>0.025039740248428574</v>
      </c>
    </row>
    <row r="97" spans="2:28" ht="17.25" thickBot="1" thickTop="1">
      <c r="B97" s="46"/>
      <c r="C97" s="52" t="s">
        <v>89</v>
      </c>
      <c r="D97" s="46"/>
      <c r="E97" s="47"/>
      <c r="F97" s="47"/>
      <c r="G97" s="11"/>
      <c r="H97" s="73">
        <f>($B$83+$B$85+$B$87+(9*$E$96/15))</f>
        <v>0.29</v>
      </c>
      <c r="I97" s="73">
        <f t="shared" si="16"/>
        <v>-42.5275414648209</v>
      </c>
      <c r="J97" s="73">
        <f t="shared" si="18"/>
        <v>-4.280192000000007</v>
      </c>
      <c r="K97" s="73">
        <f t="shared" si="0"/>
        <v>42.74238910728933</v>
      </c>
      <c r="L97" s="73">
        <v>0</v>
      </c>
      <c r="M97" s="73">
        <f t="shared" si="17"/>
        <v>42.74238910728933</v>
      </c>
      <c r="N97" s="73">
        <f t="shared" si="3"/>
        <v>0.017862099739363518</v>
      </c>
      <c r="O97" s="27"/>
      <c r="U97" s="32">
        <v>31</v>
      </c>
      <c r="V97" s="32">
        <f t="shared" si="10"/>
        <v>0.062</v>
      </c>
      <c r="W97" s="25">
        <f t="shared" si="4"/>
        <v>-68.39845545078728</v>
      </c>
      <c r="X97" s="25">
        <f t="shared" si="5"/>
        <v>-39.48986666666668</v>
      </c>
      <c r="Y97" s="25">
        <f t="shared" si="6"/>
        <v>78.97973333333334</v>
      </c>
      <c r="Z97" s="25">
        <f t="shared" si="7"/>
        <v>191.08</v>
      </c>
      <c r="AA97" s="25">
        <f t="shared" si="8"/>
        <v>119.41674612032831</v>
      </c>
      <c r="AB97" s="25">
        <f t="shared" si="9"/>
        <v>0.025157529462401126</v>
      </c>
    </row>
    <row r="98" spans="2:28" ht="17.25" thickBot="1" thickTop="1">
      <c r="B98" s="46"/>
      <c r="C98" s="45" t="s">
        <v>90</v>
      </c>
      <c r="D98" s="46"/>
      <c r="E98" s="47"/>
      <c r="F98" s="47"/>
      <c r="G98" s="11"/>
      <c r="H98" s="73">
        <f>($B$83+$B$85+$B$87+(10*$E$96/15))</f>
        <v>0.3</v>
      </c>
      <c r="I98" s="73">
        <f t="shared" si="16"/>
        <v>-35.43961788735072</v>
      </c>
      <c r="J98" s="73">
        <f t="shared" si="18"/>
        <v>-3.566826666666678</v>
      </c>
      <c r="K98" s="73">
        <f t="shared" si="0"/>
        <v>35.618657589407746</v>
      </c>
      <c r="L98" s="73">
        <v>0</v>
      </c>
      <c r="M98" s="73">
        <f t="shared" si="17"/>
        <v>35.618657589407746</v>
      </c>
      <c r="N98" s="73">
        <f t="shared" si="3"/>
        <v>0.016808879406207494</v>
      </c>
      <c r="O98" s="27"/>
      <c r="U98" s="32">
        <v>32</v>
      </c>
      <c r="V98" s="32">
        <f t="shared" si="10"/>
        <v>0.064</v>
      </c>
      <c r="W98" s="25">
        <f aca="true" t="shared" si="19" ref="W98:W116">(-$E$92*V98)</f>
        <v>-70.60485723952236</v>
      </c>
      <c r="X98" s="25">
        <f aca="true" t="shared" si="20" ref="X98:X116">((-$E$93*V98))</f>
        <v>-40.76373333333335</v>
      </c>
      <c r="Y98" s="25">
        <f aca="true" t="shared" si="21" ref="Y98:Y129">((W98^2)+(X98^2))^0.5</f>
        <v>81.52746666666667</v>
      </c>
      <c r="Z98" s="25">
        <f aca="true" t="shared" si="22" ref="Z98:Z129">($E$76)</f>
        <v>191.08</v>
      </c>
      <c r="AA98" s="25">
        <f aca="true" t="shared" si="23" ref="AA98:AA129">((Y98^2)+(Z98*$E$135)^2)^0.5</f>
        <v>121.11683944706841</v>
      </c>
      <c r="AB98" s="25">
        <f aca="true" t="shared" si="24" ref="AB98:AB129">((10*AA98)/((10^6)*$B$94))^(1/3)</f>
        <v>0.025276353585585127</v>
      </c>
    </row>
    <row r="99" spans="2:28" ht="17.25" thickBot="1" thickTop="1">
      <c r="B99" s="46"/>
      <c r="C99" s="45" t="s">
        <v>91</v>
      </c>
      <c r="D99" s="46"/>
      <c r="E99" s="47"/>
      <c r="F99" s="47"/>
      <c r="G99" s="11"/>
      <c r="H99" s="73">
        <f>($B$83+$B$85+$B$87+(11*$E$96/15))</f>
        <v>0.31</v>
      </c>
      <c r="I99" s="73">
        <f t="shared" si="16"/>
        <v>-28.351694309880628</v>
      </c>
      <c r="J99" s="73">
        <f t="shared" si="18"/>
        <v>-2.8534613333333567</v>
      </c>
      <c r="K99" s="73">
        <f t="shared" si="0"/>
        <v>28.494926071526244</v>
      </c>
      <c r="L99" s="73">
        <v>0</v>
      </c>
      <c r="M99" s="73">
        <f t="shared" si="17"/>
        <v>28.494926071526244</v>
      </c>
      <c r="N99" s="73">
        <f t="shared" si="3"/>
        <v>0.015603981391479312</v>
      </c>
      <c r="O99" s="27"/>
      <c r="U99" s="32">
        <v>33</v>
      </c>
      <c r="V99" s="32">
        <f aca="true" t="shared" si="25" ref="V99:V116">(U99*($B$83*0.02))</f>
        <v>0.066</v>
      </c>
      <c r="W99" s="25">
        <f t="shared" si="19"/>
        <v>-72.81125902825744</v>
      </c>
      <c r="X99" s="25">
        <f t="shared" si="20"/>
        <v>-42.03760000000001</v>
      </c>
      <c r="Y99" s="25">
        <f t="shared" si="21"/>
        <v>84.07520000000001</v>
      </c>
      <c r="Z99" s="25">
        <f t="shared" si="22"/>
        <v>191.08</v>
      </c>
      <c r="AA99" s="25">
        <f t="shared" si="23"/>
        <v>122.84624630652132</v>
      </c>
      <c r="AB99" s="25">
        <f t="shared" si="24"/>
        <v>0.025396091069543436</v>
      </c>
    </row>
    <row r="100" spans="2:28" ht="17.25" thickBot="1" thickTop="1">
      <c r="B100" s="46"/>
      <c r="C100" s="45" t="s">
        <v>92</v>
      </c>
      <c r="D100" s="45" t="s">
        <v>93</v>
      </c>
      <c r="E100" s="49">
        <f>((-(E92*B83)-(E85*B85))/(B85+B87+E96))</f>
        <v>-708.7923577470149</v>
      </c>
      <c r="F100" s="50" t="s">
        <v>61</v>
      </c>
      <c r="G100" s="11"/>
      <c r="H100" s="73">
        <f>($B$83+$B$85+$B$87+(12*$E$96/15))</f>
        <v>0.31999999999999995</v>
      </c>
      <c r="I100" s="73">
        <f t="shared" si="16"/>
        <v>-21.263770732410478</v>
      </c>
      <c r="J100" s="73">
        <f t="shared" si="18"/>
        <v>-2.1400959999999998</v>
      </c>
      <c r="K100" s="73">
        <f t="shared" si="0"/>
        <v>21.37119455364469</v>
      </c>
      <c r="L100" s="73">
        <v>0</v>
      </c>
      <c r="M100" s="73">
        <f t="shared" si="17"/>
        <v>21.37119455364469</v>
      </c>
      <c r="N100" s="73">
        <f t="shared" si="3"/>
        <v>0.01417715795831329</v>
      </c>
      <c r="O100" s="27"/>
      <c r="U100" s="32">
        <v>34</v>
      </c>
      <c r="V100" s="32">
        <f t="shared" si="25"/>
        <v>0.068</v>
      </c>
      <c r="W100" s="25">
        <f t="shared" si="19"/>
        <v>-75.01766081699252</v>
      </c>
      <c r="X100" s="25">
        <f t="shared" si="20"/>
        <v>-43.31146666666668</v>
      </c>
      <c r="Y100" s="25">
        <f t="shared" si="21"/>
        <v>86.62293333333335</v>
      </c>
      <c r="Z100" s="25">
        <f t="shared" si="22"/>
        <v>191.08</v>
      </c>
      <c r="AA100" s="25">
        <f t="shared" si="23"/>
        <v>124.60374615489542</v>
      </c>
      <c r="AB100" s="25">
        <f t="shared" si="24"/>
        <v>0.02551662779191103</v>
      </c>
    </row>
    <row r="101" spans="2:28" ht="17.25" thickBot="1" thickTop="1">
      <c r="B101" s="46"/>
      <c r="C101" s="45" t="s">
        <v>94</v>
      </c>
      <c r="D101" s="46"/>
      <c r="E101" s="47"/>
      <c r="F101" s="47"/>
      <c r="G101" s="11"/>
      <c r="H101" s="73">
        <f>($B$83+$B$85+$B$87+(13*$E$96/15))</f>
        <v>0.32999999999999996</v>
      </c>
      <c r="I101" s="73">
        <f t="shared" si="16"/>
        <v>-14.175847154940357</v>
      </c>
      <c r="J101" s="73">
        <f t="shared" si="18"/>
        <v>-1.4267306666667139</v>
      </c>
      <c r="K101" s="73">
        <f t="shared" si="0"/>
        <v>14.24746303576317</v>
      </c>
      <c r="L101" s="73">
        <v>0</v>
      </c>
      <c r="M101" s="73">
        <f t="shared" si="17"/>
        <v>14.24746303576317</v>
      </c>
      <c r="N101" s="73">
        <f t="shared" si="3"/>
        <v>0.012384888237863248</v>
      </c>
      <c r="O101" s="27"/>
      <c r="U101" s="32">
        <v>35</v>
      </c>
      <c r="V101" s="32">
        <f t="shared" si="25"/>
        <v>0.07</v>
      </c>
      <c r="W101" s="25">
        <f t="shared" si="19"/>
        <v>-77.22406260572758</v>
      </c>
      <c r="X101" s="25">
        <f t="shared" si="20"/>
        <v>-44.58533333333335</v>
      </c>
      <c r="Y101" s="25">
        <f t="shared" si="21"/>
        <v>89.17066666666668</v>
      </c>
      <c r="Z101" s="25">
        <f t="shared" si="22"/>
        <v>191.08</v>
      </c>
      <c r="AA101" s="25">
        <f t="shared" si="23"/>
        <v>126.38816705032272</v>
      </c>
      <c r="AB101" s="25">
        <f t="shared" si="24"/>
        <v>0.025637856795013222</v>
      </c>
    </row>
    <row r="102" spans="2:28" ht="17.25" thickBot="1" thickTop="1">
      <c r="B102" s="46"/>
      <c r="C102" s="45" t="s">
        <v>95</v>
      </c>
      <c r="D102" s="46"/>
      <c r="E102" s="47"/>
      <c r="F102" s="47"/>
      <c r="G102" s="11"/>
      <c r="H102" s="73">
        <f>($B$83+$B$85+$B$87+(14*$E$96/15))</f>
        <v>0.33999999999999997</v>
      </c>
      <c r="I102" s="73">
        <f t="shared" si="16"/>
        <v>-7.0879235774701215</v>
      </c>
      <c r="J102" s="73">
        <f t="shared" si="18"/>
        <v>-0.7133653333333285</v>
      </c>
      <c r="K102" s="73">
        <f t="shared" si="0"/>
        <v>7.123731517881525</v>
      </c>
      <c r="L102" s="73">
        <v>0</v>
      </c>
      <c r="M102" s="73">
        <f t="shared" si="17"/>
        <v>7.123731517881525</v>
      </c>
      <c r="N102" s="73">
        <f t="shared" si="3"/>
        <v>0.009829892308646318</v>
      </c>
      <c r="O102" s="27"/>
      <c r="U102" s="32">
        <v>36</v>
      </c>
      <c r="V102" s="32">
        <f t="shared" si="25"/>
        <v>0.07200000000000001</v>
      </c>
      <c r="W102" s="25">
        <f t="shared" si="19"/>
        <v>-79.43046439446266</v>
      </c>
      <c r="X102" s="25">
        <f t="shared" si="20"/>
        <v>-45.859200000000016</v>
      </c>
      <c r="Y102" s="25">
        <f t="shared" si="21"/>
        <v>91.71840000000002</v>
      </c>
      <c r="Z102" s="25">
        <f t="shared" si="22"/>
        <v>191.08</v>
      </c>
      <c r="AA102" s="25">
        <f t="shared" si="23"/>
        <v>128.19838483819717</v>
      </c>
      <c r="AB102" s="25">
        <f t="shared" si="24"/>
        <v>0.0257596780052119</v>
      </c>
    </row>
    <row r="103" spans="2:28" ht="17.25" thickBot="1" thickTop="1">
      <c r="B103" s="46"/>
      <c r="C103" s="45" t="s">
        <v>96</v>
      </c>
      <c r="D103" s="45" t="s">
        <v>97</v>
      </c>
      <c r="E103" s="49">
        <f>(E92-E85-E100)</f>
        <v>474.4332521145518</v>
      </c>
      <c r="F103" s="50" t="s">
        <v>61</v>
      </c>
      <c r="G103" s="11"/>
      <c r="H103" s="73">
        <f>($B$83+$B$85+$B$87+(15*$E$96/15))</f>
        <v>0.35</v>
      </c>
      <c r="I103" s="73">
        <v>0</v>
      </c>
      <c r="J103" s="73">
        <v>0</v>
      </c>
      <c r="K103" s="73">
        <f t="shared" si="0"/>
        <v>0</v>
      </c>
      <c r="L103" s="73">
        <v>0</v>
      </c>
      <c r="M103" s="73">
        <f t="shared" si="17"/>
        <v>0</v>
      </c>
      <c r="N103" s="73">
        <f t="shared" si="3"/>
        <v>0</v>
      </c>
      <c r="O103" s="25" t="s">
        <v>98</v>
      </c>
      <c r="P103" s="12"/>
      <c r="U103" s="32">
        <v>37</v>
      </c>
      <c r="V103" s="32">
        <f t="shared" si="25"/>
        <v>0.074</v>
      </c>
      <c r="W103" s="25">
        <f t="shared" si="19"/>
        <v>-81.63686618319772</v>
      </c>
      <c r="X103" s="25">
        <f t="shared" si="20"/>
        <v>-47.13306666666668</v>
      </c>
      <c r="Y103" s="25">
        <f t="shared" si="21"/>
        <v>94.26613333333334</v>
      </c>
      <c r="Z103" s="25">
        <f t="shared" si="22"/>
        <v>191.08</v>
      </c>
      <c r="AA103" s="25">
        <f t="shared" si="23"/>
        <v>130.03332215313227</v>
      </c>
      <c r="AB103" s="25">
        <f t="shared" si="24"/>
        <v>0.025881997938985664</v>
      </c>
    </row>
    <row r="104" spans="2:28" ht="17.25" thickBot="1" thickTop="1">
      <c r="B104" s="46"/>
      <c r="C104" s="52" t="s">
        <v>99</v>
      </c>
      <c r="D104" s="46"/>
      <c r="E104" s="47"/>
      <c r="F104" s="47"/>
      <c r="G104" s="11"/>
      <c r="H104" s="29"/>
      <c r="I104" s="29"/>
      <c r="J104" s="29"/>
      <c r="K104" s="29"/>
      <c r="L104" s="29"/>
      <c r="M104" s="29"/>
      <c r="N104" s="29"/>
      <c r="O104" s="29"/>
      <c r="U104" s="32">
        <v>38</v>
      </c>
      <c r="V104" s="32">
        <f t="shared" si="25"/>
        <v>0.076</v>
      </c>
      <c r="W104" s="25">
        <f t="shared" si="19"/>
        <v>-83.8432679719328</v>
      </c>
      <c r="X104" s="25">
        <f t="shared" si="20"/>
        <v>-48.40693333333335</v>
      </c>
      <c r="Y104" s="25">
        <f t="shared" si="21"/>
        <v>96.81386666666668</v>
      </c>
      <c r="Z104" s="25">
        <f t="shared" si="22"/>
        <v>191.08</v>
      </c>
      <c r="AA104" s="25">
        <f t="shared" si="23"/>
        <v>131.8919472731888</v>
      </c>
      <c r="AB104" s="25">
        <f t="shared" si="24"/>
        <v>0.026004729400891796</v>
      </c>
    </row>
    <row r="105" spans="2:28" ht="17.25" thickBot="1" thickTop="1">
      <c r="B105" s="46"/>
      <c r="C105" s="45" t="s">
        <v>100</v>
      </c>
      <c r="D105" s="46"/>
      <c r="E105" s="47"/>
      <c r="F105" s="47"/>
      <c r="G105" s="11"/>
      <c r="H105" s="30"/>
      <c r="I105" s="30"/>
      <c r="J105" s="30"/>
      <c r="K105" s="30"/>
      <c r="L105" s="30"/>
      <c r="M105" s="30"/>
      <c r="N105" s="30"/>
      <c r="O105" s="30"/>
      <c r="U105" s="32">
        <v>39</v>
      </c>
      <c r="V105" s="32">
        <f t="shared" si="25"/>
        <v>0.078</v>
      </c>
      <c r="W105" s="25">
        <f t="shared" si="19"/>
        <v>-86.04966976066788</v>
      </c>
      <c r="X105" s="25">
        <f t="shared" si="20"/>
        <v>-49.68080000000001</v>
      </c>
      <c r="Y105" s="25">
        <f t="shared" si="21"/>
        <v>99.36160000000001</v>
      </c>
      <c r="Z105" s="25">
        <f t="shared" si="22"/>
        <v>191.08</v>
      </c>
      <c r="AA105" s="25">
        <f t="shared" si="23"/>
        <v>133.77327285793118</v>
      </c>
      <c r="AB105" s="25">
        <f t="shared" si="24"/>
        <v>0.026127791177768145</v>
      </c>
    </row>
    <row r="106" spans="2:28" ht="17.25" thickBot="1" thickTop="1">
      <c r="B106" s="46"/>
      <c r="C106" s="45" t="s">
        <v>101</v>
      </c>
      <c r="D106" s="46"/>
      <c r="E106" s="47"/>
      <c r="F106" s="47"/>
      <c r="G106" s="11"/>
      <c r="U106" s="32">
        <v>40</v>
      </c>
      <c r="V106" s="32">
        <f t="shared" si="25"/>
        <v>0.08</v>
      </c>
      <c r="W106" s="25">
        <f t="shared" si="19"/>
        <v>-88.25607154940295</v>
      </c>
      <c r="X106" s="25">
        <f t="shared" si="20"/>
        <v>-50.95466666666668</v>
      </c>
      <c r="Y106" s="25">
        <f t="shared" si="21"/>
        <v>101.90933333333334</v>
      </c>
      <c r="Z106" s="25">
        <f t="shared" si="22"/>
        <v>191.08</v>
      </c>
      <c r="AA106" s="25">
        <f t="shared" si="23"/>
        <v>135.67635459801735</v>
      </c>
      <c r="AB106" s="25">
        <f t="shared" si="24"/>
        <v>0.026251107732818475</v>
      </c>
    </row>
    <row r="107" spans="2:28" ht="17.25" thickBot="1" thickTop="1">
      <c r="B107" s="46"/>
      <c r="C107" s="45" t="s">
        <v>102</v>
      </c>
      <c r="D107" s="45" t="s">
        <v>103</v>
      </c>
      <c r="E107" s="49">
        <f>(((-E93*B83)+(E86*(B85+B87)))/(B85+B87+E96))</f>
        <v>-71.33653333333343</v>
      </c>
      <c r="F107" s="50" t="s">
        <v>61</v>
      </c>
      <c r="G107" s="11"/>
      <c r="U107" s="32">
        <v>41</v>
      </c>
      <c r="V107" s="32">
        <f t="shared" si="25"/>
        <v>0.082</v>
      </c>
      <c r="W107" s="25">
        <f t="shared" si="19"/>
        <v>-90.46247333813803</v>
      </c>
      <c r="X107" s="25">
        <f t="shared" si="20"/>
        <v>-52.22853333333335</v>
      </c>
      <c r="Y107" s="25">
        <f t="shared" si="21"/>
        <v>104.45706666666668</v>
      </c>
      <c r="Z107" s="25">
        <f t="shared" si="22"/>
        <v>191.08</v>
      </c>
      <c r="AA107" s="25">
        <f t="shared" si="23"/>
        <v>137.6002898004468</v>
      </c>
      <c r="AB107" s="25">
        <f t="shared" si="24"/>
        <v>0.026374608902584605</v>
      </c>
    </row>
    <row r="108" spans="2:28" ht="17.25" thickBot="1" thickTop="1">
      <c r="B108" s="46"/>
      <c r="C108" s="45" t="s">
        <v>94</v>
      </c>
      <c r="D108" s="46"/>
      <c r="E108" s="47"/>
      <c r="F108" s="47"/>
      <c r="G108" s="11"/>
      <c r="U108" s="32">
        <v>42</v>
      </c>
      <c r="V108" s="32">
        <f t="shared" si="25"/>
        <v>0.084</v>
      </c>
      <c r="W108" s="25">
        <f t="shared" si="19"/>
        <v>-92.6688751268731</v>
      </c>
      <c r="X108" s="25">
        <f t="shared" si="20"/>
        <v>-53.502400000000016</v>
      </c>
      <c r="Y108" s="25">
        <f t="shared" si="21"/>
        <v>107.00480000000002</v>
      </c>
      <c r="Z108" s="25">
        <f t="shared" si="22"/>
        <v>191.08</v>
      </c>
      <c r="AA108" s="25">
        <f t="shared" si="23"/>
        <v>139.54421593030114</v>
      </c>
      <c r="AB108" s="25">
        <f t="shared" si="24"/>
        <v>0.026498229599240863</v>
      </c>
    </row>
    <row r="109" spans="2:28" ht="17.25" thickBot="1" thickTop="1">
      <c r="B109" s="46"/>
      <c r="C109" s="45" t="s">
        <v>104</v>
      </c>
      <c r="D109" s="46"/>
      <c r="E109" s="47"/>
      <c r="F109" s="47"/>
      <c r="G109" s="11"/>
      <c r="U109" s="32">
        <v>43</v>
      </c>
      <c r="V109" s="32">
        <f t="shared" si="25"/>
        <v>0.08600000000000001</v>
      </c>
      <c r="W109" s="25">
        <f t="shared" si="19"/>
        <v>-94.87527691560818</v>
      </c>
      <c r="X109" s="25">
        <f t="shared" si="20"/>
        <v>-54.776266666666686</v>
      </c>
      <c r="Y109" s="25">
        <f t="shared" si="21"/>
        <v>109.55253333333336</v>
      </c>
      <c r="Z109" s="25">
        <f t="shared" si="22"/>
        <v>191.08</v>
      </c>
      <c r="AA109" s="25">
        <f t="shared" si="23"/>
        <v>141.5073091268208</v>
      </c>
      <c r="AB109" s="25">
        <f t="shared" si="24"/>
        <v>0.02662190952014993</v>
      </c>
    </row>
    <row r="110" spans="2:28" ht="17.25" thickBot="1" thickTop="1">
      <c r="B110" s="46"/>
      <c r="C110" s="45" t="s">
        <v>105</v>
      </c>
      <c r="D110" s="45" t="s">
        <v>106</v>
      </c>
      <c r="E110" s="49">
        <f>(E93+E86-E107)</f>
        <v>1166.8618666666669</v>
      </c>
      <c r="F110" s="50" t="s">
        <v>61</v>
      </c>
      <c r="G110" s="11"/>
      <c r="U110" s="32">
        <v>44</v>
      </c>
      <c r="V110" s="32">
        <f t="shared" si="25"/>
        <v>0.088</v>
      </c>
      <c r="W110" s="25">
        <f t="shared" si="19"/>
        <v>-97.08167870434323</v>
      </c>
      <c r="X110" s="25">
        <f t="shared" si="20"/>
        <v>-56.05013333333334</v>
      </c>
      <c r="Y110" s="25">
        <f t="shared" si="21"/>
        <v>112.10026666666666</v>
      </c>
      <c r="Z110" s="25">
        <f t="shared" si="22"/>
        <v>191.08</v>
      </c>
      <c r="AA110" s="25">
        <f t="shared" si="23"/>
        <v>143.48878270896395</v>
      </c>
      <c r="AB110" s="25">
        <f t="shared" si="24"/>
        <v>0.026745592866186697</v>
      </c>
    </row>
    <row r="111" spans="2:28" ht="17.25" thickBot="1" thickTop="1">
      <c r="B111" s="46"/>
      <c r="C111" s="46"/>
      <c r="D111" s="46"/>
      <c r="E111" s="47"/>
      <c r="F111" s="47"/>
      <c r="G111" s="11"/>
      <c r="U111" s="32">
        <v>45</v>
      </c>
      <c r="V111" s="32">
        <f t="shared" si="25"/>
        <v>0.09</v>
      </c>
      <c r="W111" s="25">
        <f t="shared" si="19"/>
        <v>-99.28808049307831</v>
      </c>
      <c r="X111" s="25">
        <f t="shared" si="20"/>
        <v>-57.32400000000001</v>
      </c>
      <c r="Y111" s="25">
        <f t="shared" si="21"/>
        <v>114.648</v>
      </c>
      <c r="Z111" s="25">
        <f t="shared" si="22"/>
        <v>191.08</v>
      </c>
      <c r="AA111" s="25">
        <f t="shared" si="23"/>
        <v>145.48788568318153</v>
      </c>
      <c r="AB111" s="25">
        <f t="shared" si="24"/>
        <v>0.026869228069965605</v>
      </c>
    </row>
    <row r="112" spans="2:28" ht="21.75" thickBot="1" thickTop="1">
      <c r="B112" s="46"/>
      <c r="C112" s="51" t="s">
        <v>107</v>
      </c>
      <c r="D112" s="52" t="s">
        <v>108</v>
      </c>
      <c r="E112" s="53"/>
      <c r="F112" s="53"/>
      <c r="G112" s="11"/>
      <c r="U112" s="32">
        <v>46</v>
      </c>
      <c r="V112" s="32">
        <f t="shared" si="25"/>
        <v>0.092</v>
      </c>
      <c r="W112" s="25">
        <f t="shared" si="19"/>
        <v>-101.49448228181339</v>
      </c>
      <c r="X112" s="25">
        <f t="shared" si="20"/>
        <v>-58.59786666666668</v>
      </c>
      <c r="Y112" s="25">
        <f t="shared" si="21"/>
        <v>117.19573333333334</v>
      </c>
      <c r="Z112" s="25">
        <f t="shared" si="22"/>
        <v>191.08</v>
      </c>
      <c r="AA112" s="25">
        <f t="shared" si="23"/>
        <v>147.50390126400143</v>
      </c>
      <c r="AB112" s="25">
        <f t="shared" si="24"/>
        <v>0.02699276753479</v>
      </c>
    </row>
    <row r="113" spans="2:28" ht="17.25" thickBot="1" thickTop="1">
      <c r="B113" s="46"/>
      <c r="C113" s="52" t="s">
        <v>89</v>
      </c>
      <c r="D113" s="46"/>
      <c r="E113" s="47"/>
      <c r="F113" s="47"/>
      <c r="G113" s="11"/>
      <c r="U113" s="32">
        <v>47</v>
      </c>
      <c r="V113" s="32">
        <f t="shared" si="25"/>
        <v>0.094</v>
      </c>
      <c r="W113" s="25">
        <f t="shared" si="19"/>
        <v>-103.70088407054847</v>
      </c>
      <c r="X113" s="25">
        <f t="shared" si="20"/>
        <v>-59.87173333333335</v>
      </c>
      <c r="Y113" s="25">
        <f t="shared" si="21"/>
        <v>119.74346666666668</v>
      </c>
      <c r="Z113" s="25">
        <f t="shared" si="22"/>
        <v>191.08</v>
      </c>
      <c r="AA113" s="25">
        <f t="shared" si="23"/>
        <v>149.5361454161288</v>
      </c>
      <c r="AB113" s="25">
        <f t="shared" si="24"/>
        <v>0.02711616738487506</v>
      </c>
    </row>
    <row r="114" spans="2:28" ht="17.25" thickBot="1" thickTop="1">
      <c r="B114" s="46"/>
      <c r="C114" s="45" t="s">
        <v>109</v>
      </c>
      <c r="D114" s="46"/>
      <c r="E114" s="47"/>
      <c r="F114" s="47"/>
      <c r="G114" s="11"/>
      <c r="U114" s="32">
        <v>48</v>
      </c>
      <c r="V114" s="32">
        <f t="shared" si="25"/>
        <v>0.096</v>
      </c>
      <c r="W114" s="25">
        <f t="shared" si="19"/>
        <v>-105.90728585928355</v>
      </c>
      <c r="X114" s="25">
        <f t="shared" si="20"/>
        <v>-61.145600000000016</v>
      </c>
      <c r="Y114" s="25">
        <f t="shared" si="21"/>
        <v>122.29120000000002</v>
      </c>
      <c r="Z114" s="25">
        <f t="shared" si="22"/>
        <v>191.08</v>
      </c>
      <c r="AA114" s="25">
        <f t="shared" si="23"/>
        <v>151.58396542511514</v>
      </c>
      <c r="AB114" s="25">
        <f t="shared" si="24"/>
        <v>0.027239387227172014</v>
      </c>
    </row>
    <row r="115" spans="2:28" ht="17.25" thickBot="1" thickTop="1">
      <c r="B115" s="46"/>
      <c r="C115" s="45" t="s">
        <v>110</v>
      </c>
      <c r="D115" s="46"/>
      <c r="E115" s="47"/>
      <c r="F115" s="47"/>
      <c r="G115" s="11"/>
      <c r="U115" s="32">
        <v>49</v>
      </c>
      <c r="V115" s="32">
        <f t="shared" si="25"/>
        <v>0.098</v>
      </c>
      <c r="W115" s="25">
        <f t="shared" si="19"/>
        <v>-108.11368764801861</v>
      </c>
      <c r="X115" s="25">
        <f t="shared" si="20"/>
        <v>-62.419466666666686</v>
      </c>
      <c r="Y115" s="25">
        <f t="shared" si="21"/>
        <v>124.83893333333334</v>
      </c>
      <c r="Z115" s="25">
        <f t="shared" si="22"/>
        <v>191.08</v>
      </c>
      <c r="AA115" s="25">
        <f t="shared" si="23"/>
        <v>153.64673850221146</v>
      </c>
      <c r="AB115" s="25">
        <f t="shared" si="24"/>
        <v>0.027362389924936628</v>
      </c>
    </row>
    <row r="116" spans="2:28" ht="17.25" thickBot="1" thickTop="1">
      <c r="B116" s="46"/>
      <c r="C116" s="45" t="s">
        <v>111</v>
      </c>
      <c r="D116" s="46"/>
      <c r="E116" s="47"/>
      <c r="F116" s="47"/>
      <c r="G116" s="11"/>
      <c r="U116" s="32">
        <v>50</v>
      </c>
      <c r="V116" s="32">
        <f t="shared" si="25"/>
        <v>0.1</v>
      </c>
      <c r="W116" s="25">
        <f t="shared" si="19"/>
        <v>-110.32008943675369</v>
      </c>
      <c r="X116" s="25">
        <f t="shared" si="20"/>
        <v>-63.69333333333336</v>
      </c>
      <c r="Y116" s="25">
        <f t="shared" si="21"/>
        <v>127.38666666666668</v>
      </c>
      <c r="Z116" s="25">
        <f t="shared" si="22"/>
        <v>191.08</v>
      </c>
      <c r="AA116" s="25">
        <f t="shared" si="23"/>
        <v>155.7238704277766</v>
      </c>
      <c r="AB116" s="25">
        <f t="shared" si="24"/>
        <v>0.0274851413830338</v>
      </c>
    </row>
    <row r="117" spans="2:28" ht="17.25" thickBot="1" thickTop="1">
      <c r="B117" s="46"/>
      <c r="C117" s="45" t="s">
        <v>112</v>
      </c>
      <c r="D117" s="46"/>
      <c r="E117" s="47"/>
      <c r="F117" s="47"/>
      <c r="G117" s="11"/>
      <c r="U117" s="32">
        <v>1</v>
      </c>
      <c r="V117" s="32">
        <f aca="true" t="shared" si="26" ref="V117:V141">(U117*($B$85/25))+$B$83</f>
        <v>0.10200000000000001</v>
      </c>
      <c r="W117" s="25">
        <f aca="true" t="shared" si="27" ref="W117:W142">((-$E$92*V117)+($E$103*(V117-$B$83)))</f>
        <v>-111.57762472125967</v>
      </c>
      <c r="X117" s="25">
        <f aca="true" t="shared" si="28" ref="X117:X148">((-$E$93*V117)+($E$110*(V117-$B$83)))</f>
        <v>-62.63347626666668</v>
      </c>
      <c r="Y117" s="25">
        <f t="shared" si="21"/>
        <v>127.95514326390071</v>
      </c>
      <c r="Z117" s="25">
        <f t="shared" si="22"/>
        <v>191.08</v>
      </c>
      <c r="AA117" s="25">
        <f t="shared" si="23"/>
        <v>156.18924311311537</v>
      </c>
      <c r="AB117" s="25">
        <f t="shared" si="24"/>
        <v>0.027512493459391076</v>
      </c>
    </row>
    <row r="118" spans="2:28" ht="17.25" thickBot="1" thickTop="1">
      <c r="B118" s="46"/>
      <c r="C118" s="45" t="s">
        <v>113</v>
      </c>
      <c r="D118" s="46"/>
      <c r="E118" s="47"/>
      <c r="F118" s="47"/>
      <c r="G118" s="11"/>
      <c r="U118" s="32">
        <v>2</v>
      </c>
      <c r="V118" s="32">
        <f t="shared" si="26"/>
        <v>0.10400000000000001</v>
      </c>
      <c r="W118" s="25">
        <f t="shared" si="27"/>
        <v>-112.83516000576564</v>
      </c>
      <c r="X118" s="25">
        <f t="shared" si="28"/>
        <v>-61.573619200000024</v>
      </c>
      <c r="Y118" s="25">
        <f t="shared" si="21"/>
        <v>128.54214839854416</v>
      </c>
      <c r="Z118" s="25">
        <f t="shared" si="22"/>
        <v>191.08</v>
      </c>
      <c r="AA118" s="25">
        <f t="shared" si="23"/>
        <v>156.6704978337525</v>
      </c>
      <c r="AB118" s="25">
        <f t="shared" si="24"/>
        <v>0.02754072191119764</v>
      </c>
    </row>
    <row r="119" spans="2:28" ht="17.25" thickBot="1" thickTop="1">
      <c r="B119" s="46"/>
      <c r="C119" s="45" t="s">
        <v>114</v>
      </c>
      <c r="D119" s="46"/>
      <c r="E119" s="47"/>
      <c r="F119" s="47"/>
      <c r="G119" s="11"/>
      <c r="U119" s="32">
        <v>3</v>
      </c>
      <c r="V119" s="32">
        <f t="shared" si="26"/>
        <v>0.10600000000000001</v>
      </c>
      <c r="W119" s="25">
        <f t="shared" si="27"/>
        <v>-114.0926952902716</v>
      </c>
      <c r="X119" s="25">
        <f t="shared" si="28"/>
        <v>-60.51376213333335</v>
      </c>
      <c r="Y119" s="25">
        <f t="shared" si="21"/>
        <v>129.14742942129516</v>
      </c>
      <c r="Z119" s="25">
        <f t="shared" si="22"/>
        <v>191.08</v>
      </c>
      <c r="AA119" s="25">
        <f t="shared" si="23"/>
        <v>157.16748869499352</v>
      </c>
      <c r="AB119" s="25">
        <f t="shared" si="24"/>
        <v>0.027569812772962075</v>
      </c>
    </row>
    <row r="120" spans="2:28" ht="17.25" thickBot="1" thickTop="1">
      <c r="B120" s="46"/>
      <c r="C120" s="52" t="s">
        <v>115</v>
      </c>
      <c r="D120" s="46"/>
      <c r="E120" s="47"/>
      <c r="F120" s="47"/>
      <c r="G120" s="11"/>
      <c r="U120" s="32">
        <v>4</v>
      </c>
      <c r="V120" s="32">
        <f t="shared" si="26"/>
        <v>0.10800000000000001</v>
      </c>
      <c r="W120" s="25">
        <f t="shared" si="27"/>
        <v>-115.35023057477757</v>
      </c>
      <c r="X120" s="25">
        <f t="shared" si="28"/>
        <v>-59.45390506666668</v>
      </c>
      <c r="Y120" s="25">
        <f t="shared" si="21"/>
        <v>129.7707306033628</v>
      </c>
      <c r="Z120" s="25">
        <f t="shared" si="22"/>
        <v>191.08</v>
      </c>
      <c r="AA120" s="25">
        <f t="shared" si="23"/>
        <v>157.68006690096584</v>
      </c>
      <c r="AB120" s="25">
        <f t="shared" si="24"/>
        <v>0.027599751853177843</v>
      </c>
    </row>
    <row r="121" spans="2:28" ht="17.25" thickBot="1" thickTop="1">
      <c r="B121" s="46"/>
      <c r="C121" s="45" t="s">
        <v>116</v>
      </c>
      <c r="D121" s="46"/>
      <c r="E121" s="47"/>
      <c r="F121" s="47"/>
      <c r="G121" s="11"/>
      <c r="U121" s="32">
        <v>5</v>
      </c>
      <c r="V121" s="32">
        <f t="shared" si="26"/>
        <v>0.11</v>
      </c>
      <c r="W121" s="25">
        <f t="shared" si="27"/>
        <v>-116.60776585928355</v>
      </c>
      <c r="X121" s="25">
        <f t="shared" si="28"/>
        <v>-58.394048000000026</v>
      </c>
      <c r="Y121" s="25">
        <f t="shared" si="21"/>
        <v>130.41179356377168</v>
      </c>
      <c r="Z121" s="25">
        <f t="shared" si="22"/>
        <v>191.08</v>
      </c>
      <c r="AA121" s="25">
        <f t="shared" si="23"/>
        <v>158.20808094747343</v>
      </c>
      <c r="AB121" s="25">
        <f t="shared" si="24"/>
        <v>0.027630524756163587</v>
      </c>
    </row>
    <row r="122" spans="2:28" ht="17.25" thickBot="1" thickTop="1">
      <c r="B122" s="46"/>
      <c r="C122" s="45" t="s">
        <v>117</v>
      </c>
      <c r="D122" s="46"/>
      <c r="E122" s="47"/>
      <c r="F122" s="47"/>
      <c r="G122" s="11"/>
      <c r="U122" s="32">
        <v>6</v>
      </c>
      <c r="V122" s="32">
        <f t="shared" si="26"/>
        <v>0.112</v>
      </c>
      <c r="W122" s="25">
        <f t="shared" si="27"/>
        <v>-117.86530114378951</v>
      </c>
      <c r="X122" s="25">
        <f t="shared" si="28"/>
        <v>-57.33419093333335</v>
      </c>
      <c r="Y122" s="25">
        <f t="shared" si="21"/>
        <v>131.07035768508499</v>
      </c>
      <c r="Z122" s="25">
        <f t="shared" si="22"/>
        <v>191.08</v>
      </c>
      <c r="AA122" s="25">
        <f t="shared" si="23"/>
        <v>158.75137681374173</v>
      </c>
      <c r="AB122" s="25">
        <f t="shared" si="24"/>
        <v>0.02766211690363936</v>
      </c>
    </row>
    <row r="123" spans="2:28" ht="17.25" thickBot="1" thickTop="1">
      <c r="B123" s="46"/>
      <c r="C123" s="45" t="s">
        <v>118</v>
      </c>
      <c r="D123" s="46"/>
      <c r="E123" s="47"/>
      <c r="F123" s="47"/>
      <c r="G123" s="11"/>
      <c r="U123" s="32">
        <v>7</v>
      </c>
      <c r="V123" s="32">
        <f t="shared" si="26"/>
        <v>0.114</v>
      </c>
      <c r="W123" s="25">
        <f t="shared" si="27"/>
        <v>-119.12283642829549</v>
      </c>
      <c r="X123" s="25">
        <f t="shared" si="28"/>
        <v>-56.274333866666694</v>
      </c>
      <c r="Y123" s="25">
        <f t="shared" si="21"/>
        <v>131.7461605165764</v>
      </c>
      <c r="Z123" s="25">
        <f t="shared" si="22"/>
        <v>191.08</v>
      </c>
      <c r="AA123" s="25">
        <f t="shared" si="23"/>
        <v>159.30979815259957</v>
      </c>
      <c r="AB123" s="25">
        <f t="shared" si="24"/>
        <v>0.027694513555984054</v>
      </c>
    </row>
    <row r="124" spans="2:28" ht="17.25" thickBot="1" thickTop="1">
      <c r="B124" s="46"/>
      <c r="C124" s="45" t="s">
        <v>112</v>
      </c>
      <c r="D124" s="46"/>
      <c r="E124" s="47"/>
      <c r="F124" s="47"/>
      <c r="G124" s="11"/>
      <c r="U124" s="32">
        <v>8</v>
      </c>
      <c r="V124" s="32">
        <f t="shared" si="26"/>
        <v>0.116</v>
      </c>
      <c r="W124" s="25">
        <f t="shared" si="27"/>
        <v>-120.38037171280146</v>
      </c>
      <c r="X124" s="25">
        <f t="shared" si="28"/>
        <v>-55.21447680000002</v>
      </c>
      <c r="Y124" s="25">
        <f t="shared" si="21"/>
        <v>132.4389381640082</v>
      </c>
      <c r="Z124" s="25">
        <f t="shared" si="22"/>
        <v>191.08</v>
      </c>
      <c r="AA124" s="25">
        <f t="shared" si="23"/>
        <v>159.88318647866788</v>
      </c>
      <c r="AB124" s="25">
        <f t="shared" si="24"/>
        <v>0.027727699833123256</v>
      </c>
    </row>
    <row r="125" spans="2:28" ht="17.25" thickBot="1" thickTop="1">
      <c r="B125" s="46"/>
      <c r="C125" s="45" t="s">
        <v>119</v>
      </c>
      <c r="D125" s="46"/>
      <c r="E125" s="47"/>
      <c r="F125" s="47"/>
      <c r="G125" s="11"/>
      <c r="U125" s="32">
        <v>9</v>
      </c>
      <c r="V125" s="32">
        <f t="shared" si="26"/>
        <v>0.11800000000000001</v>
      </c>
      <c r="W125" s="25">
        <f t="shared" si="27"/>
        <v>-121.63790699730744</v>
      </c>
      <c r="X125" s="25">
        <f t="shared" si="28"/>
        <v>-54.15461973333335</v>
      </c>
      <c r="Y125" s="25">
        <f t="shared" si="21"/>
        <v>133.14842566529862</v>
      </c>
      <c r="Z125" s="25">
        <f t="shared" si="22"/>
        <v>191.08</v>
      </c>
      <c r="AA125" s="25">
        <f t="shared" si="23"/>
        <v>160.47138135415315</v>
      </c>
      <c r="AB125" s="25">
        <f t="shared" si="24"/>
        <v>0.02776166073499989</v>
      </c>
    </row>
    <row r="126" spans="2:28" ht="17.25" thickBot="1" thickTop="1">
      <c r="B126" s="46"/>
      <c r="C126" s="45" t="s">
        <v>120</v>
      </c>
      <c r="D126" s="46"/>
      <c r="E126" s="47"/>
      <c r="F126" s="47"/>
      <c r="G126" s="11"/>
      <c r="U126" s="32">
        <v>10</v>
      </c>
      <c r="V126" s="32">
        <f t="shared" si="26"/>
        <v>0.12000000000000001</v>
      </c>
      <c r="W126" s="25">
        <f t="shared" si="27"/>
        <v>-122.8954422818134</v>
      </c>
      <c r="X126" s="25">
        <f t="shared" si="28"/>
        <v>-53.09476266666669</v>
      </c>
      <c r="Y126" s="25">
        <f t="shared" si="21"/>
        <v>133.8743573514816</v>
      </c>
      <c r="Z126" s="25">
        <f t="shared" si="22"/>
        <v>191.08</v>
      </c>
      <c r="AA126" s="25">
        <f t="shared" si="23"/>
        <v>161.07422057186773</v>
      </c>
      <c r="AB126" s="25">
        <f t="shared" si="24"/>
        <v>0.02779638116158472</v>
      </c>
    </row>
    <row r="127" spans="2:28" ht="17.25" thickBot="1" thickTop="1">
      <c r="B127" s="46"/>
      <c r="C127" s="46"/>
      <c r="D127" s="46"/>
      <c r="E127" s="47"/>
      <c r="F127" s="47"/>
      <c r="G127" s="11"/>
      <c r="U127" s="32">
        <v>11</v>
      </c>
      <c r="V127" s="32">
        <f t="shared" si="26"/>
        <v>0.122</v>
      </c>
      <c r="W127" s="25">
        <f t="shared" si="27"/>
        <v>-124.15297756631936</v>
      </c>
      <c r="X127" s="25">
        <f t="shared" si="28"/>
        <v>-52.034905600000016</v>
      </c>
      <c r="Y127" s="25">
        <f t="shared" si="21"/>
        <v>134.61646719247952</v>
      </c>
      <c r="Z127" s="25">
        <f t="shared" si="22"/>
        <v>191.08</v>
      </c>
      <c r="AA127" s="25">
        <f t="shared" si="23"/>
        <v>161.69154033512828</v>
      </c>
      <c r="AB127" s="25">
        <f t="shared" si="24"/>
        <v>0.027831845932387224</v>
      </c>
    </row>
    <row r="128" spans="2:28" ht="21.75" thickBot="1" thickTop="1">
      <c r="B128" s="46"/>
      <c r="C128" s="41" t="s">
        <v>121</v>
      </c>
      <c r="D128" s="52" t="s">
        <v>108</v>
      </c>
      <c r="E128" s="53"/>
      <c r="F128" s="53"/>
      <c r="G128" s="11"/>
      <c r="U128" s="32">
        <v>12</v>
      </c>
      <c r="V128" s="32">
        <f t="shared" si="26"/>
        <v>0.124</v>
      </c>
      <c r="W128" s="25">
        <f t="shared" si="27"/>
        <v>-125.41051285082533</v>
      </c>
      <c r="X128" s="25">
        <f t="shared" si="28"/>
        <v>-50.975048533333364</v>
      </c>
      <c r="Y128" s="25">
        <f t="shared" si="21"/>
        <v>135.3744891273194</v>
      </c>
      <c r="Z128" s="25">
        <f t="shared" si="22"/>
        <v>191.08</v>
      </c>
      <c r="AA128" s="25">
        <f t="shared" si="23"/>
        <v>162.3231754342097</v>
      </c>
      <c r="AB128" s="25">
        <f t="shared" si="24"/>
        <v>0.027868039805431417</v>
      </c>
    </row>
    <row r="129" spans="2:28" ht="17.25" thickBot="1" thickTop="1">
      <c r="B129" s="46"/>
      <c r="C129" s="46"/>
      <c r="D129" s="46"/>
      <c r="E129" s="47"/>
      <c r="F129" s="47"/>
      <c r="G129" s="11"/>
      <c r="U129" s="32">
        <v>13</v>
      </c>
      <c r="V129" s="32">
        <f t="shared" si="26"/>
        <v>0.126</v>
      </c>
      <c r="W129" s="25">
        <f t="shared" si="27"/>
        <v>-126.6680481353313</v>
      </c>
      <c r="X129" s="25">
        <f t="shared" si="28"/>
        <v>-49.915191466666684</v>
      </c>
      <c r="Y129" s="25">
        <f t="shared" si="21"/>
        <v>136.14815737852865</v>
      </c>
      <c r="Z129" s="25">
        <f t="shared" si="22"/>
        <v>191.08</v>
      </c>
      <c r="AA129" s="25">
        <f t="shared" si="23"/>
        <v>162.96895941905964</v>
      </c>
      <c r="AB129" s="25">
        <f t="shared" si="24"/>
        <v>0.0279049474956652</v>
      </c>
    </row>
    <row r="130" spans="2:28" ht="17.25" thickBot="1" thickTop="1">
      <c r="B130" s="46"/>
      <c r="C130" s="52" t="s">
        <v>122</v>
      </c>
      <c r="D130" s="46"/>
      <c r="E130" s="47"/>
      <c r="F130" s="47"/>
      <c r="G130" s="11"/>
      <c r="U130" s="32">
        <v>14</v>
      </c>
      <c r="V130" s="32">
        <f t="shared" si="26"/>
        <v>0.128</v>
      </c>
      <c r="W130" s="25">
        <f t="shared" si="27"/>
        <v>-127.92558341983727</v>
      </c>
      <c r="X130" s="25">
        <f t="shared" si="28"/>
        <v>-48.85533440000003</v>
      </c>
      <c r="Y130" s="25">
        <f aca="true" t="shared" si="29" ref="Y130:Y161">((W130^2)+(X130^2))^0.5</f>
        <v>136.93720675054524</v>
      </c>
      <c r="Z130" s="25">
        <f aca="true" t="shared" si="30" ref="Z130:Z141">($E$76)</f>
        <v>191.08</v>
      </c>
      <c r="AA130" s="25">
        <f aca="true" t="shared" si="31" ref="AA130:AA161">((Y130^2)+(Z130*$E$135)^2)^0.5</f>
        <v>163.62872476800666</v>
      </c>
      <c r="AB130" s="25">
        <f aca="true" t="shared" si="32" ref="AB130:AB161">((10*AA130)/((10^6)*$B$94))^(1/3)</f>
        <v>0.02794255369277561</v>
      </c>
    </row>
    <row r="131" spans="2:28" ht="17.25" thickBot="1" thickTop="1">
      <c r="B131" s="46"/>
      <c r="C131" s="46"/>
      <c r="D131" s="46"/>
      <c r="E131" s="47"/>
      <c r="F131" s="47"/>
      <c r="G131" s="11"/>
      <c r="U131" s="32">
        <v>15</v>
      </c>
      <c r="V131" s="32">
        <f t="shared" si="26"/>
        <v>0.13</v>
      </c>
      <c r="W131" s="25">
        <f t="shared" si="27"/>
        <v>-129.18311870434323</v>
      </c>
      <c r="X131" s="25">
        <f t="shared" si="28"/>
        <v>-47.79547733333336</v>
      </c>
      <c r="Y131" s="25">
        <f t="shared" si="29"/>
        <v>137.74137291206887</v>
      </c>
      <c r="Z131" s="25">
        <f t="shared" si="30"/>
        <v>191.08</v>
      </c>
      <c r="AA131" s="25">
        <f t="shared" si="31"/>
        <v>164.30230305222176</v>
      </c>
      <c r="AB131" s="25">
        <f t="shared" si="32"/>
        <v>0.027980843078386195</v>
      </c>
    </row>
    <row r="132" spans="2:28" ht="21.75" thickBot="1" thickTop="1">
      <c r="B132" s="46"/>
      <c r="C132" s="41" t="s">
        <v>123</v>
      </c>
      <c r="D132" s="52" t="s">
        <v>108</v>
      </c>
      <c r="E132" s="53"/>
      <c r="F132" s="53"/>
      <c r="G132" s="11"/>
      <c r="U132" s="32">
        <v>16</v>
      </c>
      <c r="V132" s="32">
        <f t="shared" si="26"/>
        <v>0.132</v>
      </c>
      <c r="W132" s="25">
        <f t="shared" si="27"/>
        <v>-130.44065398884922</v>
      </c>
      <c r="X132" s="25">
        <f t="shared" si="28"/>
        <v>-46.735620266666686</v>
      </c>
      <c r="Y132" s="25">
        <f t="shared" si="29"/>
        <v>138.56039266236493</v>
      </c>
      <c r="Z132" s="25">
        <f t="shared" si="30"/>
        <v>191.08</v>
      </c>
      <c r="AA132" s="25">
        <f t="shared" si="31"/>
        <v>164.9895250957201</v>
      </c>
      <c r="AB132" s="25">
        <f t="shared" si="32"/>
        <v>0.02801980034261629</v>
      </c>
    </row>
    <row r="133" spans="2:28" ht="17.25" thickBot="1" thickTop="1">
      <c r="B133" s="46"/>
      <c r="C133" s="46"/>
      <c r="D133" s="46"/>
      <c r="E133" s="47"/>
      <c r="F133" s="47"/>
      <c r="G133" s="11"/>
      <c r="U133" s="32">
        <v>17</v>
      </c>
      <c r="V133" s="32">
        <f t="shared" si="26"/>
        <v>0.134</v>
      </c>
      <c r="W133" s="25">
        <f t="shared" si="27"/>
        <v>-131.69818927335518</v>
      </c>
      <c r="X133" s="25">
        <f t="shared" si="28"/>
        <v>-45.67576320000003</v>
      </c>
      <c r="Y133" s="25">
        <f t="shared" si="29"/>
        <v>139.39400418161094</v>
      </c>
      <c r="Z133" s="25">
        <f t="shared" si="30"/>
        <v>191.08</v>
      </c>
      <c r="AA133" s="25">
        <f t="shared" si="31"/>
        <v>165.6902211307157</v>
      </c>
      <c r="AB133" s="25">
        <f t="shared" si="32"/>
        <v>0.028059410199985726</v>
      </c>
    </row>
    <row r="134" spans="2:28" ht="17.25" thickBot="1" thickTop="1">
      <c r="B134" s="46"/>
      <c r="C134" s="52" t="s">
        <v>124</v>
      </c>
      <c r="D134" s="46"/>
      <c r="E134" s="47"/>
      <c r="F134" s="47"/>
      <c r="G134" s="11"/>
      <c r="U134" s="32">
        <v>18</v>
      </c>
      <c r="V134" s="32">
        <f t="shared" si="26"/>
        <v>0.136</v>
      </c>
      <c r="W134" s="25">
        <f t="shared" si="27"/>
        <v>-132.95572455786117</v>
      </c>
      <c r="X134" s="25">
        <f t="shared" si="28"/>
        <v>-44.615906133333354</v>
      </c>
      <c r="Y134" s="25">
        <f t="shared" si="29"/>
        <v>140.24194726544644</v>
      </c>
      <c r="Z134" s="25">
        <f t="shared" si="30"/>
        <v>191.08</v>
      </c>
      <c r="AA134" s="25">
        <f t="shared" si="31"/>
        <v>166.40422094816816</v>
      </c>
      <c r="AB134" s="25">
        <f t="shared" si="32"/>
        <v>0.02809965740465182</v>
      </c>
    </row>
    <row r="135" spans="2:28" ht="17.25" thickBot="1" thickTop="1">
      <c r="B135" s="46"/>
      <c r="C135" s="52" t="s">
        <v>125</v>
      </c>
      <c r="D135" s="45" t="s">
        <v>126</v>
      </c>
      <c r="E135" s="49">
        <f>((1/2)*(B94/B96))</f>
        <v>0.46875</v>
      </c>
      <c r="F135" s="47"/>
      <c r="G135" s="11"/>
      <c r="U135" s="32">
        <v>19</v>
      </c>
      <c r="V135" s="32">
        <f t="shared" si="26"/>
        <v>0.138</v>
      </c>
      <c r="W135" s="25">
        <f t="shared" si="27"/>
        <v>-134.21325984236714</v>
      </c>
      <c r="X135" s="25">
        <f t="shared" si="28"/>
        <v>-43.55604906666668</v>
      </c>
      <c r="Y135" s="25">
        <f t="shared" si="29"/>
        <v>141.10396354395093</v>
      </c>
      <c r="Z135" s="25">
        <f t="shared" si="30"/>
        <v>191.08</v>
      </c>
      <c r="AA135" s="25">
        <f t="shared" si="31"/>
        <v>167.13135404338448</v>
      </c>
      <c r="AB135" s="25">
        <f t="shared" si="32"/>
        <v>0.02814052676496894</v>
      </c>
    </row>
    <row r="136" spans="2:28" ht="17.25" thickBot="1" thickTop="1">
      <c r="B136" s="46"/>
      <c r="C136" s="46"/>
      <c r="D136" s="46"/>
      <c r="E136" s="47"/>
      <c r="F136" s="47"/>
      <c r="G136" s="11"/>
      <c r="U136" s="32">
        <v>20</v>
      </c>
      <c r="V136" s="32">
        <f t="shared" si="26"/>
        <v>0.14</v>
      </c>
      <c r="W136" s="25">
        <f t="shared" si="27"/>
        <v>-135.4707951268731</v>
      </c>
      <c r="X136" s="25">
        <f t="shared" si="28"/>
        <v>-42.49619200000002</v>
      </c>
      <c r="Y136" s="25">
        <f t="shared" si="29"/>
        <v>141.97979668533156</v>
      </c>
      <c r="Z136" s="25">
        <f t="shared" si="30"/>
        <v>191.08</v>
      </c>
      <c r="AA136" s="25">
        <f t="shared" si="31"/>
        <v>167.871449756564</v>
      </c>
      <c r="AB136" s="25">
        <f t="shared" si="32"/>
        <v>0.028182003157363824</v>
      </c>
    </row>
    <row r="137" spans="2:28" ht="21.75" thickBot="1" thickTop="1">
      <c r="B137" s="46"/>
      <c r="C137" s="68" t="s">
        <v>127</v>
      </c>
      <c r="D137" s="52" t="s">
        <v>108</v>
      </c>
      <c r="E137" s="53"/>
      <c r="F137" s="53"/>
      <c r="G137" s="11"/>
      <c r="U137" s="32">
        <v>21</v>
      </c>
      <c r="V137" s="32">
        <f t="shared" si="26"/>
        <v>0.14200000000000002</v>
      </c>
      <c r="W137" s="25">
        <f t="shared" si="27"/>
        <v>-136.7283304113791</v>
      </c>
      <c r="X137" s="25">
        <f t="shared" si="28"/>
        <v>-41.43633493333335</v>
      </c>
      <c r="Y137" s="25">
        <f t="shared" si="29"/>
        <v>142.86919258465286</v>
      </c>
      <c r="Z137" s="25">
        <f t="shared" si="30"/>
        <v>191.08</v>
      </c>
      <c r="AA137" s="25">
        <f t="shared" si="31"/>
        <v>168.624337408196</v>
      </c>
      <c r="AB137" s="25">
        <f t="shared" si="32"/>
        <v>0.02822407153952301</v>
      </c>
    </row>
    <row r="138" spans="2:28" ht="19.5" thickBot="1" thickTop="1">
      <c r="B138" s="46"/>
      <c r="C138" s="54" t="s">
        <v>128</v>
      </c>
      <c r="D138" s="46"/>
      <c r="E138" s="47"/>
      <c r="F138" s="47"/>
      <c r="G138" s="11"/>
      <c r="U138" s="32">
        <v>22</v>
      </c>
      <c r="V138" s="32">
        <f t="shared" si="26"/>
        <v>0.14400000000000002</v>
      </c>
      <c r="W138" s="25">
        <f t="shared" si="27"/>
        <v>-137.98586569588502</v>
      </c>
      <c r="X138" s="25">
        <f t="shared" si="28"/>
        <v>-40.376477866666676</v>
      </c>
      <c r="Y138" s="25">
        <f t="shared" si="29"/>
        <v>143.77189953798427</v>
      </c>
      <c r="Z138" s="25">
        <f t="shared" si="30"/>
        <v>191.08</v>
      </c>
      <c r="AA138" s="25">
        <f t="shared" si="31"/>
        <v>169.38984642924362</v>
      </c>
      <c r="AB138" s="25">
        <f t="shared" si="32"/>
        <v>0.028266716962891555</v>
      </c>
    </row>
    <row r="139" spans="2:28" ht="17.25" thickBot="1" thickTop="1">
      <c r="B139" s="46"/>
      <c r="C139" s="52" t="s">
        <v>129</v>
      </c>
      <c r="D139" s="46"/>
      <c r="E139" s="47"/>
      <c r="F139" s="47"/>
      <c r="G139" s="11"/>
      <c r="U139" s="32">
        <v>23</v>
      </c>
      <c r="V139" s="32">
        <f t="shared" si="26"/>
        <v>0.14600000000000002</v>
      </c>
      <c r="W139" s="25">
        <f t="shared" si="27"/>
        <v>-139.24340098039102</v>
      </c>
      <c r="X139" s="25">
        <f t="shared" si="28"/>
        <v>-39.31662080000002</v>
      </c>
      <c r="Y139" s="25">
        <f t="shared" si="29"/>
        <v>144.6876684023796</v>
      </c>
      <c r="Z139" s="25">
        <f t="shared" si="30"/>
        <v>191.08</v>
      </c>
      <c r="AA139" s="25">
        <f t="shared" si="31"/>
        <v>170.16780648606672</v>
      </c>
      <c r="AB139" s="25">
        <f t="shared" si="32"/>
        <v>0.02830992458448478</v>
      </c>
    </row>
    <row r="140" spans="2:28" ht="17.25" thickBot="1" thickTop="1">
      <c r="B140" s="46"/>
      <c r="C140" s="46"/>
      <c r="D140" s="46"/>
      <c r="E140" s="47"/>
      <c r="F140" s="47"/>
      <c r="G140" s="11"/>
      <c r="U140" s="32">
        <v>24</v>
      </c>
      <c r="V140" s="32">
        <f t="shared" si="26"/>
        <v>0.14800000000000002</v>
      </c>
      <c r="W140" s="25">
        <f t="shared" si="27"/>
        <v>-140.50093626489698</v>
      </c>
      <c r="X140" s="25">
        <f t="shared" si="28"/>
        <v>-38.256763733333344</v>
      </c>
      <c r="Y140" s="25">
        <f t="shared" si="29"/>
        <v>145.6162527421329</v>
      </c>
      <c r="Z140" s="25">
        <f t="shared" si="30"/>
        <v>191.08</v>
      </c>
      <c r="AA140" s="25">
        <f t="shared" si="31"/>
        <v>170.95804760005663</v>
      </c>
      <c r="AB140" s="25">
        <f t="shared" si="32"/>
        <v>0.02835367967801691</v>
      </c>
    </row>
    <row r="141" spans="2:28" ht="17.25" thickBot="1" thickTop="1">
      <c r="B141" s="45" t="s">
        <v>128</v>
      </c>
      <c r="C141" s="46"/>
      <c r="D141" s="46"/>
      <c r="E141" s="47"/>
      <c r="F141" s="47"/>
      <c r="G141" s="11"/>
      <c r="U141" s="32">
        <v>25</v>
      </c>
      <c r="V141" s="32">
        <f t="shared" si="26"/>
        <v>0.15000000000000002</v>
      </c>
      <c r="W141" s="25">
        <f t="shared" si="27"/>
        <v>-141.75847154940294</v>
      </c>
      <c r="X141" s="25">
        <f t="shared" si="28"/>
        <v>-37.19690666666667</v>
      </c>
      <c r="Y141" s="25">
        <f t="shared" si="29"/>
        <v>146.55740896178398</v>
      </c>
      <c r="Z141" s="25">
        <f t="shared" si="30"/>
        <v>191.08</v>
      </c>
      <c r="AA141" s="25">
        <f t="shared" si="31"/>
        <v>171.7604002619757</v>
      </c>
      <c r="AB141" s="25">
        <f t="shared" si="32"/>
        <v>0.028397967644353466</v>
      </c>
    </row>
    <row r="142" spans="2:28" ht="24.75" thickBot="1" thickTop="1">
      <c r="B142" s="46"/>
      <c r="C142" s="66" t="s">
        <v>130</v>
      </c>
      <c r="D142" s="46"/>
      <c r="E142" s="47"/>
      <c r="F142" s="47"/>
      <c r="G142" s="11"/>
      <c r="V142" s="32">
        <f>($B$85+$B$83)</f>
        <v>0.15000000000000002</v>
      </c>
      <c r="W142" s="25">
        <f t="shared" si="27"/>
        <v>-141.75847154940294</v>
      </c>
      <c r="X142" s="25">
        <f t="shared" si="28"/>
        <v>-37.19690666666667</v>
      </c>
      <c r="Y142" s="25">
        <f t="shared" si="29"/>
        <v>146.55740896178398</v>
      </c>
      <c r="Z142" s="25">
        <f aca="true" t="shared" si="33" ref="Z142:Z167">($E$78)</f>
        <v>57.324</v>
      </c>
      <c r="AA142" s="25">
        <f t="shared" si="31"/>
        <v>149.00035103811743</v>
      </c>
      <c r="AB142" s="25">
        <f t="shared" si="32"/>
        <v>0.027083742499849257</v>
      </c>
    </row>
    <row r="143" spans="2:28" ht="17.25" thickBot="1" thickTop="1">
      <c r="B143" s="45" t="s">
        <v>131</v>
      </c>
      <c r="C143" s="46"/>
      <c r="D143" s="46"/>
      <c r="E143" s="47"/>
      <c r="F143" s="47"/>
      <c r="G143" s="11"/>
      <c r="U143" s="32">
        <v>1</v>
      </c>
      <c r="V143" s="32">
        <f aca="true" t="shared" si="34" ref="V143:V166">(U143*($B$87/25))+$B$85+$B$83</f>
        <v>0.15200000000000002</v>
      </c>
      <c r="W143" s="25">
        <f aca="true" t="shared" si="35" ref="W143:W174">((-$E$92*V143)+($E$103*(V143-$B$83))+($E$85*(V143-$B$83-$B$85)))</f>
        <v>-140.3408868339089</v>
      </c>
      <c r="X143" s="25">
        <f t="shared" si="28"/>
        <v>-36.13704960000001</v>
      </c>
      <c r="Y143" s="25">
        <f t="shared" si="29"/>
        <v>144.91877335639055</v>
      </c>
      <c r="Z143" s="25">
        <f t="shared" si="33"/>
        <v>57.324</v>
      </c>
      <c r="AA143" s="25">
        <f t="shared" si="31"/>
        <v>147.388878003096</v>
      </c>
      <c r="AB143" s="25">
        <f t="shared" si="32"/>
        <v>0.026985749407350774</v>
      </c>
    </row>
    <row r="144" spans="2:28" ht="17.25" thickBot="1" thickTop="1">
      <c r="B144" s="48">
        <v>5</v>
      </c>
      <c r="C144" s="51" t="s">
        <v>132</v>
      </c>
      <c r="D144" s="45" t="s">
        <v>133</v>
      </c>
      <c r="E144" s="49">
        <f>((E103^2)+(E110^2))^0.5</f>
        <v>1259.6243593201937</v>
      </c>
      <c r="F144" s="50" t="s">
        <v>61</v>
      </c>
      <c r="G144" s="11"/>
      <c r="U144" s="32">
        <v>2</v>
      </c>
      <c r="V144" s="32">
        <f t="shared" si="34"/>
        <v>0.15400000000000003</v>
      </c>
      <c r="W144" s="25">
        <f t="shared" si="35"/>
        <v>-138.92330211841488</v>
      </c>
      <c r="X144" s="25">
        <f t="shared" si="28"/>
        <v>-35.07719253333334</v>
      </c>
      <c r="Y144" s="25">
        <f t="shared" si="29"/>
        <v>143.28326248206702</v>
      </c>
      <c r="Z144" s="25">
        <f t="shared" si="33"/>
        <v>57.324</v>
      </c>
      <c r="AA144" s="25">
        <f t="shared" si="31"/>
        <v>145.78108174724022</v>
      </c>
      <c r="AB144" s="25">
        <f t="shared" si="32"/>
        <v>0.02688726546130644</v>
      </c>
    </row>
    <row r="145" spans="2:28" ht="17.25" thickBot="1" thickTop="1">
      <c r="B145" s="45" t="s">
        <v>134</v>
      </c>
      <c r="C145" s="45" t="s">
        <v>135</v>
      </c>
      <c r="D145" s="45" t="s">
        <v>136</v>
      </c>
      <c r="E145" s="49">
        <f>((E100^2)+(E107^2))^0.5</f>
        <v>712.3731517881553</v>
      </c>
      <c r="F145" s="50" t="s">
        <v>61</v>
      </c>
      <c r="G145" s="11"/>
      <c r="U145" s="32">
        <v>3</v>
      </c>
      <c r="V145" s="32">
        <f t="shared" si="34"/>
        <v>0.156</v>
      </c>
      <c r="W145" s="25">
        <f t="shared" si="35"/>
        <v>-137.50571740292088</v>
      </c>
      <c r="X145" s="25">
        <f t="shared" si="28"/>
        <v>-34.017335466666694</v>
      </c>
      <c r="Y145" s="25">
        <f t="shared" si="29"/>
        <v>141.65098457385912</v>
      </c>
      <c r="Z145" s="25">
        <f t="shared" si="33"/>
        <v>57.324</v>
      </c>
      <c r="AA145" s="25">
        <f t="shared" si="31"/>
        <v>144.1770852758312</v>
      </c>
      <c r="AB145" s="25">
        <f t="shared" si="32"/>
        <v>0.026788290054875912</v>
      </c>
    </row>
    <row r="146" spans="2:28" ht="17.25" thickBot="1" thickTop="1">
      <c r="B146" s="48">
        <v>2</v>
      </c>
      <c r="C146" s="46"/>
      <c r="D146" s="46"/>
      <c r="E146" s="47"/>
      <c r="F146" s="47"/>
      <c r="G146" s="11"/>
      <c r="U146" s="32">
        <v>4</v>
      </c>
      <c r="V146" s="32">
        <f t="shared" si="34"/>
        <v>0.158</v>
      </c>
      <c r="W146" s="25">
        <f t="shared" si="35"/>
        <v>-136.08813268742682</v>
      </c>
      <c r="X146" s="25">
        <f t="shared" si="28"/>
        <v>-32.95747840000003</v>
      </c>
      <c r="Y146" s="25">
        <f t="shared" si="29"/>
        <v>140.02205269469934</v>
      </c>
      <c r="Z146" s="25">
        <f t="shared" si="33"/>
        <v>57.324</v>
      </c>
      <c r="AA146" s="25">
        <f t="shared" si="31"/>
        <v>142.5770168320539</v>
      </c>
      <c r="AB146" s="25">
        <f t="shared" si="32"/>
        <v>0.026688822915955954</v>
      </c>
    </row>
    <row r="147" spans="2:28" ht="17.25" thickBot="1" thickTop="1">
      <c r="B147" s="46"/>
      <c r="C147" s="52" t="s">
        <v>137</v>
      </c>
      <c r="D147" s="45" t="s">
        <v>138</v>
      </c>
      <c r="E147" s="49">
        <f>(((E144^3)*B73*E149)/16660)^(1/3)</f>
        <v>13387.291404063992</v>
      </c>
      <c r="F147" s="50" t="s">
        <v>61</v>
      </c>
      <c r="G147" s="11"/>
      <c r="U147" s="32">
        <v>5</v>
      </c>
      <c r="V147" s="32">
        <f t="shared" si="34"/>
        <v>0.16</v>
      </c>
      <c r="W147" s="25">
        <f t="shared" si="35"/>
        <v>-134.6705479719328</v>
      </c>
      <c r="X147" s="25">
        <f t="shared" si="28"/>
        <v>-31.897621333333362</v>
      </c>
      <c r="Y147" s="25">
        <f t="shared" si="29"/>
        <v>138.3965849932193</v>
      </c>
      <c r="Z147" s="25">
        <f t="shared" si="33"/>
        <v>57.324</v>
      </c>
      <c r="AA147" s="25">
        <f t="shared" si="31"/>
        <v>140.9810101597942</v>
      </c>
      <c r="AB147" s="25">
        <f t="shared" si="32"/>
        <v>0.02658886413726667</v>
      </c>
    </row>
    <row r="148" spans="2:28" ht="17.25" thickBot="1" thickTop="1">
      <c r="B148" s="46"/>
      <c r="C148" s="46"/>
      <c r="D148" s="45" t="s">
        <v>139</v>
      </c>
      <c r="E148" s="49">
        <f>(((E145^3)*B73*E149)/16660)^(1/3)</f>
        <v>7571.103957188021</v>
      </c>
      <c r="F148" s="50" t="s">
        <v>61</v>
      </c>
      <c r="G148" s="11"/>
      <c r="U148" s="32">
        <v>6</v>
      </c>
      <c r="V148" s="32">
        <f t="shared" si="34"/>
        <v>0.162</v>
      </c>
      <c r="W148" s="25">
        <f t="shared" si="35"/>
        <v>-133.2529632564388</v>
      </c>
      <c r="X148" s="25">
        <f t="shared" si="28"/>
        <v>-30.83776426666668</v>
      </c>
      <c r="Y148" s="25">
        <f t="shared" si="29"/>
        <v>136.77470497715697</v>
      </c>
      <c r="Z148" s="25">
        <f t="shared" si="33"/>
        <v>57.324</v>
      </c>
      <c r="AA148" s="25">
        <f t="shared" si="31"/>
        <v>139.38920478099786</v>
      </c>
      <c r="AB148" s="25">
        <f t="shared" si="32"/>
        <v>0.026488414208785505</v>
      </c>
    </row>
    <row r="149" spans="2:28" ht="17.25" thickBot="1" thickTop="1">
      <c r="B149" s="46"/>
      <c r="C149" s="45" t="s">
        <v>140</v>
      </c>
      <c r="D149" s="45" t="s">
        <v>141</v>
      </c>
      <c r="E149" s="49">
        <f>(B144*2000*B146)</f>
        <v>20000</v>
      </c>
      <c r="F149" s="50" t="s">
        <v>142</v>
      </c>
      <c r="G149" s="11"/>
      <c r="U149" s="32">
        <v>7</v>
      </c>
      <c r="V149" s="32">
        <f t="shared" si="34"/>
        <v>0.164</v>
      </c>
      <c r="W149" s="25">
        <f t="shared" si="35"/>
        <v>-131.83537854094473</v>
      </c>
      <c r="X149" s="25">
        <f aca="true" t="shared" si="36" ref="X149:X168">((-$E$93*V149)+($E$110*(V149-$B$83)))</f>
        <v>-29.77790720000003</v>
      </c>
      <c r="Y149" s="25">
        <f t="shared" si="29"/>
        <v>135.15654180336963</v>
      </c>
      <c r="Z149" s="25">
        <f t="shared" si="33"/>
        <v>57.324</v>
      </c>
      <c r="AA149" s="25">
        <f t="shared" si="31"/>
        <v>137.80174628841476</v>
      </c>
      <c r="AB149" s="25">
        <f t="shared" si="32"/>
        <v>0.026387474052707457</v>
      </c>
    </row>
    <row r="150" spans="2:28" ht="17.25" thickBot="1" thickTop="1">
      <c r="B150" s="45" t="s">
        <v>143</v>
      </c>
      <c r="C150" s="46"/>
      <c r="D150" s="46"/>
      <c r="E150" s="47"/>
      <c r="F150" s="47"/>
      <c r="G150" s="11"/>
      <c r="U150" s="32">
        <v>8</v>
      </c>
      <c r="V150" s="32">
        <f t="shared" si="34"/>
        <v>0.166</v>
      </c>
      <c r="W150" s="25">
        <f t="shared" si="35"/>
        <v>-130.41779382545073</v>
      </c>
      <c r="X150" s="25">
        <f t="shared" si="36"/>
        <v>-28.71805013333335</v>
      </c>
      <c r="Y150" s="25">
        <f t="shared" si="29"/>
        <v>133.54223058552836</v>
      </c>
      <c r="Z150" s="25">
        <f t="shared" si="33"/>
        <v>57.324</v>
      </c>
      <c r="AA150" s="25">
        <f t="shared" si="31"/>
        <v>136.21878665459124</v>
      </c>
      <c r="AB150" s="25">
        <f t="shared" si="32"/>
        <v>0.02628604506112336</v>
      </c>
    </row>
    <row r="151" spans="2:28" ht="17.25" thickBot="1" thickTop="1">
      <c r="B151" s="45" t="s">
        <v>144</v>
      </c>
      <c r="C151" s="52" t="s">
        <v>145</v>
      </c>
      <c r="D151" s="46"/>
      <c r="E151" s="47"/>
      <c r="F151" s="47"/>
      <c r="G151" s="11"/>
      <c r="U151" s="32">
        <v>9</v>
      </c>
      <c r="V151" s="32">
        <f t="shared" si="34"/>
        <v>0.168</v>
      </c>
      <c r="W151" s="25">
        <f t="shared" si="35"/>
        <v>-129.0002091099567</v>
      </c>
      <c r="X151" s="25">
        <f t="shared" si="36"/>
        <v>-27.658193066666684</v>
      </c>
      <c r="Y151" s="25">
        <f t="shared" si="29"/>
        <v>131.93191272063618</v>
      </c>
      <c r="Z151" s="25">
        <f t="shared" si="33"/>
        <v>57.324</v>
      </c>
      <c r="AA151" s="25">
        <f t="shared" si="31"/>
        <v>134.6404845580117</v>
      </c>
      <c r="AB151" s="25">
        <f t="shared" si="32"/>
        <v>0.02618412913662093</v>
      </c>
    </row>
    <row r="152" spans="2:28" ht="17.25" thickBot="1" thickTop="1">
      <c r="B152" s="48">
        <f>(N76)</f>
        <v>0.0274851413830338</v>
      </c>
      <c r="C152" s="45" t="s">
        <v>146</v>
      </c>
      <c r="D152" s="45" t="s">
        <v>147</v>
      </c>
      <c r="E152" s="49">
        <v>30</v>
      </c>
      <c r="F152" s="50" t="s">
        <v>148</v>
      </c>
      <c r="G152" s="11"/>
      <c r="U152" s="32">
        <v>10</v>
      </c>
      <c r="V152" s="32">
        <f t="shared" si="34"/>
        <v>0.17</v>
      </c>
      <c r="W152" s="25">
        <f t="shared" si="35"/>
        <v>-127.58262439446264</v>
      </c>
      <c r="X152" s="25">
        <f t="shared" si="36"/>
        <v>-26.598336000000018</v>
      </c>
      <c r="Y152" s="25">
        <f t="shared" si="29"/>
        <v>130.32573623558562</v>
      </c>
      <c r="Z152" s="25">
        <f t="shared" si="33"/>
        <v>57.324</v>
      </c>
      <c r="AA152" s="25">
        <f t="shared" si="31"/>
        <v>133.06700572733294</v>
      </c>
      <c r="AB152" s="25">
        <f t="shared" si="32"/>
        <v>0.02608172873602865</v>
      </c>
    </row>
    <row r="153" spans="2:28" ht="17.25" thickBot="1" thickTop="1">
      <c r="B153" s="45" t="s">
        <v>149</v>
      </c>
      <c r="C153" s="45" t="s">
        <v>150</v>
      </c>
      <c r="D153" s="45" t="s">
        <v>151</v>
      </c>
      <c r="E153" s="49">
        <v>20</v>
      </c>
      <c r="F153" s="50" t="s">
        <v>148</v>
      </c>
      <c r="G153" s="11"/>
      <c r="U153" s="32">
        <v>11</v>
      </c>
      <c r="V153" s="32">
        <f t="shared" si="34"/>
        <v>0.17200000000000001</v>
      </c>
      <c r="W153" s="25">
        <f t="shared" si="35"/>
        <v>-126.16503967896861</v>
      </c>
      <c r="X153" s="25">
        <f t="shared" si="36"/>
        <v>-25.53847893333335</v>
      </c>
      <c r="Y153" s="25">
        <f t="shared" si="29"/>
        <v>128.72385615504234</v>
      </c>
      <c r="Z153" s="25">
        <f t="shared" si="33"/>
        <v>57.324</v>
      </c>
      <c r="AA153" s="25">
        <f t="shared" si="31"/>
        <v>131.49852330469213</v>
      </c>
      <c r="AB153" s="25">
        <f t="shared" si="32"/>
        <v>0.025978846917536783</v>
      </c>
    </row>
    <row r="154" spans="2:28" ht="17.25" thickBot="1" thickTop="1">
      <c r="B154" s="48">
        <f>(N103)</f>
        <v>0</v>
      </c>
      <c r="C154" s="46"/>
      <c r="D154" s="46"/>
      <c r="E154" s="47"/>
      <c r="F154" s="47"/>
      <c r="G154" s="11"/>
      <c r="U154" s="32">
        <v>12</v>
      </c>
      <c r="V154" s="32">
        <f t="shared" si="34"/>
        <v>0.17400000000000002</v>
      </c>
      <c r="W154" s="25">
        <f t="shared" si="35"/>
        <v>-124.7474549634746</v>
      </c>
      <c r="X154" s="25">
        <f t="shared" si="36"/>
        <v>-24.47862186666667</v>
      </c>
      <c r="Y154" s="25">
        <f t="shared" si="29"/>
        <v>127.12643489202146</v>
      </c>
      <c r="Z154" s="25">
        <f t="shared" si="33"/>
        <v>57.324</v>
      </c>
      <c r="AA154" s="25">
        <f t="shared" si="31"/>
        <v>129.9352182291083</v>
      </c>
      <c r="AB154" s="25">
        <f t="shared" si="32"/>
        <v>0.025875487391446187</v>
      </c>
    </row>
    <row r="155" spans="2:28" ht="17.25" thickBot="1" thickTop="1">
      <c r="B155" s="43"/>
      <c r="C155" s="51" t="s">
        <v>152</v>
      </c>
      <c r="D155" s="55" t="s">
        <v>153</v>
      </c>
      <c r="E155" s="56"/>
      <c r="F155" s="56"/>
      <c r="G155" s="11"/>
      <c r="U155" s="32">
        <v>13</v>
      </c>
      <c r="V155" s="32">
        <f t="shared" si="34"/>
        <v>0.17600000000000002</v>
      </c>
      <c r="W155" s="25">
        <f t="shared" si="35"/>
        <v>-123.32987024798055</v>
      </c>
      <c r="X155" s="25">
        <f t="shared" si="36"/>
        <v>-23.41876480000002</v>
      </c>
      <c r="Y155" s="25">
        <f t="shared" si="29"/>
        <v>125.53364266260037</v>
      </c>
      <c r="Z155" s="25">
        <f t="shared" si="33"/>
        <v>57.324</v>
      </c>
      <c r="AA155" s="25">
        <f t="shared" si="31"/>
        <v>128.3772796410333</v>
      </c>
      <c r="AB155" s="25">
        <f t="shared" si="32"/>
        <v>0.025771654574811582</v>
      </c>
    </row>
    <row r="156" spans="2:28" ht="24.75" thickBot="1" thickTop="1">
      <c r="B156" s="45" t="s">
        <v>143</v>
      </c>
      <c r="C156" s="66" t="s">
        <v>154</v>
      </c>
      <c r="D156" s="45" t="s">
        <v>155</v>
      </c>
      <c r="E156" s="49">
        <v>0.025</v>
      </c>
      <c r="F156" s="50" t="s">
        <v>88</v>
      </c>
      <c r="G156" s="11"/>
      <c r="U156" s="32">
        <v>14</v>
      </c>
      <c r="V156" s="32">
        <f t="shared" si="34"/>
        <v>0.178</v>
      </c>
      <c r="W156" s="25">
        <f t="shared" si="35"/>
        <v>-121.91228553248655</v>
      </c>
      <c r="X156" s="25">
        <f t="shared" si="36"/>
        <v>-22.358907733333368</v>
      </c>
      <c r="Y156" s="25">
        <f t="shared" si="29"/>
        <v>123.94565792629545</v>
      </c>
      <c r="Z156" s="25">
        <f t="shared" si="33"/>
        <v>57.324</v>
      </c>
      <c r="AA156" s="25">
        <f t="shared" si="31"/>
        <v>126.82490530914214</v>
      </c>
      <c r="AB156" s="25">
        <f t="shared" si="32"/>
        <v>0.025667353650263795</v>
      </c>
    </row>
    <row r="157" spans="2:28" ht="17.25" thickBot="1" thickTop="1">
      <c r="B157" s="45" t="s">
        <v>156</v>
      </c>
      <c r="C157" s="46"/>
      <c r="D157" s="45" t="s">
        <v>157</v>
      </c>
      <c r="E157" s="49">
        <v>0.032</v>
      </c>
      <c r="F157" s="50" t="s">
        <v>88</v>
      </c>
      <c r="G157" s="11"/>
      <c r="U157" s="32">
        <v>15</v>
      </c>
      <c r="V157" s="32">
        <f t="shared" si="34"/>
        <v>0.18</v>
      </c>
      <c r="W157" s="25">
        <f t="shared" si="35"/>
        <v>-120.49470081699252</v>
      </c>
      <c r="X157" s="25">
        <f t="shared" si="36"/>
        <v>-21.299050666666687</v>
      </c>
      <c r="Y157" s="25">
        <f t="shared" si="29"/>
        <v>122.36266785371171</v>
      </c>
      <c r="Z157" s="25">
        <f t="shared" si="33"/>
        <v>57.324</v>
      </c>
      <c r="AA157" s="25">
        <f t="shared" si="31"/>
        <v>125.2783020804816</v>
      </c>
      <c r="AB157" s="25">
        <f t="shared" si="32"/>
        <v>0.02556259062931206</v>
      </c>
    </row>
    <row r="158" spans="2:28" ht="17.25" thickBot="1" thickTop="1">
      <c r="B158" s="48">
        <f>(N66)</f>
        <v>0.02285765902852205</v>
      </c>
      <c r="C158" s="52" t="s">
        <v>158</v>
      </c>
      <c r="D158" s="45" t="s">
        <v>159</v>
      </c>
      <c r="E158" s="49">
        <v>0.025</v>
      </c>
      <c r="F158" s="50" t="s">
        <v>88</v>
      </c>
      <c r="G158" s="11"/>
      <c r="U158" s="32">
        <v>16</v>
      </c>
      <c r="V158" s="32">
        <f t="shared" si="34"/>
        <v>0.182</v>
      </c>
      <c r="W158" s="25">
        <f t="shared" si="35"/>
        <v>-119.07711610149848</v>
      </c>
      <c r="X158" s="25">
        <f t="shared" si="36"/>
        <v>-20.239193600000036</v>
      </c>
      <c r="Y158" s="25">
        <f t="shared" si="29"/>
        <v>120.78486882316025</v>
      </c>
      <c r="Z158" s="25">
        <f t="shared" si="33"/>
        <v>57.324</v>
      </c>
      <c r="AA158" s="25">
        <f t="shared" si="31"/>
        <v>123.73768635512243</v>
      </c>
      <c r="AB158" s="25">
        <f t="shared" si="32"/>
        <v>0.025457372420446402</v>
      </c>
    </row>
    <row r="159" spans="2:28" ht="17.25" thickBot="1" thickTop="1">
      <c r="B159" s="45" t="s">
        <v>160</v>
      </c>
      <c r="C159" s="46"/>
      <c r="D159" s="57" t="s">
        <v>161</v>
      </c>
      <c r="E159" s="58">
        <f>((4*E76)/((E156)*(B165)*(B169)*(B185)*(10^6)))</f>
        <v>0.058233904761904765</v>
      </c>
      <c r="F159" s="59" t="s">
        <v>88</v>
      </c>
      <c r="G159" s="11"/>
      <c r="U159" s="32">
        <v>17</v>
      </c>
      <c r="V159" s="32">
        <f t="shared" si="34"/>
        <v>0.184</v>
      </c>
      <c r="W159" s="25">
        <f t="shared" si="35"/>
        <v>-117.65953138600446</v>
      </c>
      <c r="X159" s="25">
        <f t="shared" si="36"/>
        <v>-19.179336533333355</v>
      </c>
      <c r="Y159" s="25">
        <f t="shared" si="29"/>
        <v>119.2124669480211</v>
      </c>
      <c r="Z159" s="25">
        <f t="shared" si="33"/>
        <v>57.324</v>
      </c>
      <c r="AA159" s="25">
        <f t="shared" si="31"/>
        <v>122.20328458647766</v>
      </c>
      <c r="AB159" s="25">
        <f t="shared" si="32"/>
        <v>0.02535170690237747</v>
      </c>
    </row>
    <row r="160" spans="2:28" ht="17.25" thickBot="1" thickTop="1">
      <c r="B160" s="48">
        <f>(N82)</f>
        <v>0.027083742499849257</v>
      </c>
      <c r="C160" s="45" t="s">
        <v>162</v>
      </c>
      <c r="D160" s="45" t="s">
        <v>163</v>
      </c>
      <c r="E160" s="49">
        <f>((4*E76)/((E157)*(B165)*(B171)*(B187)*(10^6)))</f>
        <v>0.022747619047619048</v>
      </c>
      <c r="F160" s="50" t="s">
        <v>88</v>
      </c>
      <c r="G160" s="11"/>
      <c r="U160" s="32">
        <v>18</v>
      </c>
      <c r="V160" s="32">
        <f t="shared" si="34"/>
        <v>0.186</v>
      </c>
      <c r="W160" s="25">
        <f t="shared" si="35"/>
        <v>-116.2419466705104</v>
      </c>
      <c r="X160" s="25">
        <f t="shared" si="36"/>
        <v>-18.11947946666669</v>
      </c>
      <c r="Y160" s="25">
        <f t="shared" si="29"/>
        <v>117.64567863671296</v>
      </c>
      <c r="Z160" s="25">
        <f t="shared" si="33"/>
        <v>57.324</v>
      </c>
      <c r="AA160" s="25">
        <f t="shared" si="31"/>
        <v>120.67533380846048</v>
      </c>
      <c r="AB160" s="25">
        <f t="shared" si="32"/>
        <v>0.025245603002770036</v>
      </c>
    </row>
    <row r="161" spans="2:28" ht="17.25" thickBot="1" thickTop="1">
      <c r="B161" s="45" t="s">
        <v>164</v>
      </c>
      <c r="C161" s="45" t="s">
        <v>165</v>
      </c>
      <c r="D161" s="45" t="s">
        <v>166</v>
      </c>
      <c r="E161" s="49">
        <f>((4*E78)/((E158)*(B165)*(B173)*(B185)*(10^6)))</f>
        <v>0.017470171428571428</v>
      </c>
      <c r="F161" s="50" t="s">
        <v>88</v>
      </c>
      <c r="G161" s="11"/>
      <c r="U161" s="32">
        <v>19</v>
      </c>
      <c r="V161" s="32">
        <f t="shared" si="34"/>
        <v>0.188</v>
      </c>
      <c r="W161" s="25">
        <f t="shared" si="35"/>
        <v>-114.82436195501639</v>
      </c>
      <c r="X161" s="25">
        <f t="shared" si="36"/>
        <v>-17.059622400000023</v>
      </c>
      <c r="Y161" s="25">
        <f t="shared" si="29"/>
        <v>116.08473118721169</v>
      </c>
      <c r="Z161" s="25">
        <f t="shared" si="33"/>
        <v>57.324</v>
      </c>
      <c r="AA161" s="25">
        <f t="shared" si="31"/>
        <v>119.15408219065691</v>
      </c>
      <c r="AB161" s="25">
        <f t="shared" si="32"/>
        <v>0.0251390707828439</v>
      </c>
    </row>
    <row r="162" spans="2:28" ht="17.25" thickBot="1" thickTop="1">
      <c r="B162" s="48">
        <f>(N87)</f>
        <v>0.02449161334038562</v>
      </c>
      <c r="C162" s="45" t="s">
        <v>167</v>
      </c>
      <c r="D162" s="46"/>
      <c r="E162" s="47"/>
      <c r="F162" s="47"/>
      <c r="G162" s="11"/>
      <c r="U162" s="32">
        <v>20</v>
      </c>
      <c r="V162" s="32">
        <f t="shared" si="34"/>
        <v>0.19</v>
      </c>
      <c r="W162" s="25">
        <f t="shared" si="35"/>
        <v>-113.40677723952234</v>
      </c>
      <c r="X162" s="25">
        <f t="shared" si="36"/>
        <v>-15.999765333333357</v>
      </c>
      <c r="Y162" s="25">
        <f aca="true" t="shared" si="37" ref="Y162:Y193">((W162^2)+(X162^2))^0.5</f>
        <v>114.52986341813379</v>
      </c>
      <c r="Z162" s="25">
        <f t="shared" si="33"/>
        <v>57.324</v>
      </c>
      <c r="AA162" s="25">
        <f aca="true" t="shared" si="38" ref="AA162:AA193">((Y162^2)+(Z162*$E$135)^2)^0.5</f>
        <v>117.63978962267403</v>
      </c>
      <c r="AB162" s="25">
        <f aca="true" t="shared" si="39" ref="AB162:AB193">((10*AA162)/((10^6)*$B$94))^(1/3)</f>
        <v>0.0250321215282332</v>
      </c>
    </row>
    <row r="163" spans="2:28" ht="17.25" thickBot="1" thickTop="1">
      <c r="B163" s="45" t="s">
        <v>168</v>
      </c>
      <c r="C163" s="45" t="s">
        <v>169</v>
      </c>
      <c r="D163" s="46"/>
      <c r="E163" s="47"/>
      <c r="F163" s="47"/>
      <c r="G163" s="11"/>
      <c r="U163" s="32">
        <v>21</v>
      </c>
      <c r="V163" s="32">
        <f t="shared" si="34"/>
        <v>0.192</v>
      </c>
      <c r="W163" s="25">
        <f t="shared" si="35"/>
        <v>-111.98919252402834</v>
      </c>
      <c r="X163" s="25">
        <f t="shared" si="36"/>
        <v>-14.939908266666677</v>
      </c>
      <c r="Y163" s="25">
        <f t="shared" si="37"/>
        <v>112.98132633847197</v>
      </c>
      <c r="Z163" s="25">
        <f t="shared" si="33"/>
        <v>57.324</v>
      </c>
      <c r="AA163" s="25">
        <f t="shared" si="38"/>
        <v>116.13272832880025</v>
      </c>
      <c r="AB163" s="25">
        <f t="shared" si="39"/>
        <v>0.02492476784651158</v>
      </c>
    </row>
    <row r="164" spans="2:28" ht="17.25" thickBot="1" thickTop="1">
      <c r="B164" s="45" t="s">
        <v>170</v>
      </c>
      <c r="C164" s="46"/>
      <c r="D164" s="46"/>
      <c r="E164" s="47"/>
      <c r="F164" s="47"/>
      <c r="G164" s="11"/>
      <c r="U164" s="32">
        <v>22</v>
      </c>
      <c r="V164" s="32">
        <f t="shared" si="34"/>
        <v>0.194</v>
      </c>
      <c r="W164" s="25">
        <f t="shared" si="35"/>
        <v>-110.5716078085343</v>
      </c>
      <c r="X164" s="25">
        <f t="shared" si="36"/>
        <v>-13.880051200000025</v>
      </c>
      <c r="Y164" s="25">
        <f t="shared" si="37"/>
        <v>111.43938385812686</v>
      </c>
      <c r="Z164" s="25">
        <f t="shared" si="33"/>
        <v>57.324</v>
      </c>
      <c r="AA164" s="25">
        <f t="shared" si="38"/>
        <v>114.63318351406616</v>
      </c>
      <c r="AB164" s="25">
        <f t="shared" si="39"/>
        <v>0.024817023771805256</v>
      </c>
    </row>
    <row r="165" spans="2:28" ht="17.25" thickBot="1" thickTop="1">
      <c r="B165" s="48">
        <v>75</v>
      </c>
      <c r="C165" s="52" t="s">
        <v>171</v>
      </c>
      <c r="D165" s="46"/>
      <c r="E165" s="47"/>
      <c r="F165" s="47"/>
      <c r="G165" s="11"/>
      <c r="U165" s="32">
        <v>23</v>
      </c>
      <c r="V165" s="32">
        <f t="shared" si="34"/>
        <v>0.196</v>
      </c>
      <c r="W165" s="25">
        <f t="shared" si="35"/>
        <v>-109.15402309304025</v>
      </c>
      <c r="X165" s="25">
        <f t="shared" si="36"/>
        <v>-12.820194133333345</v>
      </c>
      <c r="Y165" s="25">
        <f t="shared" si="37"/>
        <v>109.90431354142711</v>
      </c>
      <c r="Z165" s="25">
        <f t="shared" si="33"/>
        <v>57.324</v>
      </c>
      <c r="AA165" s="25">
        <f t="shared" si="38"/>
        <v>113.14145404272894</v>
      </c>
      <c r="AB165" s="25">
        <f t="shared" si="39"/>
        <v>0.024708904876928395</v>
      </c>
    </row>
    <row r="166" spans="2:28" ht="17.25" thickBot="1" thickTop="1">
      <c r="B166" s="45" t="s">
        <v>172</v>
      </c>
      <c r="C166" s="46"/>
      <c r="D166" s="45" t="s">
        <v>173</v>
      </c>
      <c r="E166" s="49">
        <f>(E159+B177)</f>
        <v>0.06623390476190477</v>
      </c>
      <c r="F166" s="50" t="s">
        <v>88</v>
      </c>
      <c r="G166" s="11"/>
      <c r="U166" s="32">
        <v>24</v>
      </c>
      <c r="V166" s="32">
        <f t="shared" si="34"/>
        <v>0.198</v>
      </c>
      <c r="W166" s="25">
        <f t="shared" si="35"/>
        <v>-107.73643837754625</v>
      </c>
      <c r="X166" s="25">
        <f t="shared" si="36"/>
        <v>-11.760337066666679</v>
      </c>
      <c r="Y166" s="25">
        <f t="shared" si="37"/>
        <v>108.37640740585765</v>
      </c>
      <c r="Z166" s="25">
        <f t="shared" si="33"/>
        <v>57.324</v>
      </c>
      <c r="AA166" s="25">
        <f t="shared" si="38"/>
        <v>111.6578531501079</v>
      </c>
      <c r="AB166" s="25">
        <f t="shared" si="39"/>
        <v>0.02460042839348481</v>
      </c>
    </row>
    <row r="167" spans="2:28" ht="17.25" thickBot="1" thickTop="1">
      <c r="B167" s="45" t="s">
        <v>174</v>
      </c>
      <c r="C167" s="45" t="s">
        <v>175</v>
      </c>
      <c r="D167" s="45" t="s">
        <v>176</v>
      </c>
      <c r="E167" s="49">
        <f>(E160+B179)</f>
        <v>0.030747619047619048</v>
      </c>
      <c r="F167" s="50" t="s">
        <v>88</v>
      </c>
      <c r="G167" s="11"/>
      <c r="U167" s="32">
        <v>25</v>
      </c>
      <c r="V167" s="32">
        <f>$B$87+$B$85+$B$83</f>
        <v>0.2</v>
      </c>
      <c r="W167" s="25">
        <f t="shared" si="35"/>
        <v>-106.3188536620522</v>
      </c>
      <c r="X167" s="25">
        <f t="shared" si="36"/>
        <v>-10.700480000000027</v>
      </c>
      <c r="Y167" s="25">
        <f t="shared" si="37"/>
        <v>106.85597276822325</v>
      </c>
      <c r="Z167" s="25">
        <f t="shared" si="33"/>
        <v>57.324</v>
      </c>
      <c r="AA167" s="25">
        <f t="shared" si="38"/>
        <v>110.18270918857411</v>
      </c>
      <c r="AB167" s="25">
        <f t="shared" si="39"/>
        <v>0.02449161334038562</v>
      </c>
    </row>
    <row r="168" spans="2:28" ht="17.25" thickBot="1" thickTop="1">
      <c r="B168" s="45" t="s">
        <v>177</v>
      </c>
      <c r="C168" s="46"/>
      <c r="D168" s="45" t="s">
        <v>178</v>
      </c>
      <c r="E168" s="49">
        <f>(E161+B181)</f>
        <v>0.025470171428571428</v>
      </c>
      <c r="F168" s="50" t="s">
        <v>88</v>
      </c>
      <c r="G168" s="11"/>
      <c r="V168" s="32">
        <f>$B$87+$B$85+$B$83</f>
        <v>0.2</v>
      </c>
      <c r="W168" s="25">
        <f t="shared" si="35"/>
        <v>-106.3188536620522</v>
      </c>
      <c r="X168" s="25">
        <f t="shared" si="36"/>
        <v>-10.700480000000027</v>
      </c>
      <c r="Y168" s="25">
        <f t="shared" si="37"/>
        <v>106.85597276822325</v>
      </c>
      <c r="Z168" s="32">
        <v>0</v>
      </c>
      <c r="AA168" s="25">
        <f t="shared" si="38"/>
        <v>106.85597276822325</v>
      </c>
      <c r="AB168" s="25">
        <f t="shared" si="39"/>
        <v>0.024242599100951803</v>
      </c>
    </row>
    <row r="169" spans="2:28" ht="17.25" thickBot="1" thickTop="1">
      <c r="B169" s="48">
        <v>0.007</v>
      </c>
      <c r="C169" s="46"/>
      <c r="D169" s="46"/>
      <c r="E169" s="47"/>
      <c r="F169" s="47"/>
      <c r="G169" s="11"/>
      <c r="U169" s="32">
        <v>1</v>
      </c>
      <c r="V169" s="32">
        <f aca="true" t="shared" si="40" ref="V169:V200">(U67*($E$96/75))+$B$87+$B$85+$B$83</f>
        <v>0.202</v>
      </c>
      <c r="W169" s="25">
        <f t="shared" si="35"/>
        <v>-104.90126894655819</v>
      </c>
      <c r="X169" s="25">
        <f aca="true" t="shared" si="41" ref="X169:X200">((-$E$93*V169)+($E$110*(V169-$B$83))-($E$86*(V169-$B$83-$B$85-$B$87)))</f>
        <v>-10.557806933333348</v>
      </c>
      <c r="Y169" s="25">
        <f t="shared" si="37"/>
        <v>105.43122646464697</v>
      </c>
      <c r="Z169" s="32">
        <v>0</v>
      </c>
      <c r="AA169" s="25">
        <f t="shared" si="38"/>
        <v>105.43122646464697</v>
      </c>
      <c r="AB169" s="25">
        <f t="shared" si="39"/>
        <v>0.02413437177090509</v>
      </c>
    </row>
    <row r="170" spans="2:28" ht="24.75" thickBot="1" thickTop="1">
      <c r="B170" s="45" t="s">
        <v>179</v>
      </c>
      <c r="C170" s="66"/>
      <c r="D170" s="46"/>
      <c r="E170" s="47"/>
      <c r="F170" s="47"/>
      <c r="G170" s="11"/>
      <c r="U170" s="32">
        <v>2</v>
      </c>
      <c r="V170" s="32">
        <f t="shared" si="40"/>
        <v>0.20400000000000001</v>
      </c>
      <c r="W170" s="25">
        <f t="shared" si="35"/>
        <v>-103.48368423106413</v>
      </c>
      <c r="X170" s="25">
        <f t="shared" si="41"/>
        <v>-10.415133866666682</v>
      </c>
      <c r="Y170" s="25">
        <f t="shared" si="37"/>
        <v>104.00648016107063</v>
      </c>
      <c r="Z170" s="32">
        <v>0</v>
      </c>
      <c r="AA170" s="25">
        <f t="shared" si="38"/>
        <v>104.00648016107063</v>
      </c>
      <c r="AB170" s="25">
        <f t="shared" si="39"/>
        <v>0.024025164974732498</v>
      </c>
    </row>
    <row r="171" spans="2:28" ht="17.25" thickBot="1" thickTop="1">
      <c r="B171" s="48">
        <v>0.007</v>
      </c>
      <c r="C171" s="46"/>
      <c r="D171" s="46"/>
      <c r="E171" s="47"/>
      <c r="F171" s="47"/>
      <c r="G171" s="11"/>
      <c r="U171" s="32">
        <v>3</v>
      </c>
      <c r="V171" s="32">
        <f t="shared" si="40"/>
        <v>0.20600000000000002</v>
      </c>
      <c r="W171" s="25">
        <f t="shared" si="35"/>
        <v>-102.06609951557012</v>
      </c>
      <c r="X171" s="25">
        <f t="shared" si="41"/>
        <v>-10.272460800000003</v>
      </c>
      <c r="Y171" s="25">
        <f t="shared" si="37"/>
        <v>102.58173385749433</v>
      </c>
      <c r="Z171" s="32">
        <v>0</v>
      </c>
      <c r="AA171" s="25">
        <f t="shared" si="38"/>
        <v>102.58173385749433</v>
      </c>
      <c r="AB171" s="25">
        <f t="shared" si="39"/>
        <v>0.023914956246368135</v>
      </c>
    </row>
    <row r="172" spans="2:28" ht="17.25" thickBot="1" thickTop="1">
      <c r="B172" s="45" t="s">
        <v>180</v>
      </c>
      <c r="C172" s="52"/>
      <c r="D172" s="45"/>
      <c r="E172" s="60"/>
      <c r="F172" s="47"/>
      <c r="G172" s="11"/>
      <c r="U172" s="32">
        <v>4</v>
      </c>
      <c r="V172" s="32">
        <f t="shared" si="40"/>
        <v>0.20800000000000002</v>
      </c>
      <c r="W172" s="25">
        <f t="shared" si="35"/>
        <v>-100.64851480007607</v>
      </c>
      <c r="X172" s="25">
        <f t="shared" si="41"/>
        <v>-10.129787733333366</v>
      </c>
      <c r="Y172" s="25">
        <f t="shared" si="37"/>
        <v>101.15698755391801</v>
      </c>
      <c r="Z172" s="32">
        <v>0</v>
      </c>
      <c r="AA172" s="25">
        <f t="shared" si="38"/>
        <v>101.15698755391801</v>
      </c>
      <c r="AB172" s="25">
        <f t="shared" si="39"/>
        <v>0.023803722283734403</v>
      </c>
    </row>
    <row r="173" spans="2:28" ht="17.25" thickBot="1" thickTop="1">
      <c r="B173" s="48">
        <v>0.007</v>
      </c>
      <c r="C173" s="46"/>
      <c r="D173" s="46"/>
      <c r="E173" s="47"/>
      <c r="F173" s="47"/>
      <c r="G173" s="11"/>
      <c r="U173" s="32">
        <v>5</v>
      </c>
      <c r="V173" s="32">
        <f t="shared" si="40"/>
        <v>0.21000000000000002</v>
      </c>
      <c r="W173" s="25">
        <f t="shared" si="35"/>
        <v>-99.23093008458204</v>
      </c>
      <c r="X173" s="25">
        <f t="shared" si="41"/>
        <v>-9.987114666666702</v>
      </c>
      <c r="Y173" s="25">
        <f t="shared" si="37"/>
        <v>99.7322412503417</v>
      </c>
      <c r="Z173" s="32">
        <v>0</v>
      </c>
      <c r="AA173" s="25">
        <f t="shared" si="38"/>
        <v>99.7322412503417</v>
      </c>
      <c r="AB173" s="25">
        <f t="shared" si="39"/>
        <v>0.02369143890535955</v>
      </c>
    </row>
    <row r="174" spans="2:28" ht="17.25" thickBot="1" thickTop="1">
      <c r="B174" s="45" t="s">
        <v>181</v>
      </c>
      <c r="C174" s="52"/>
      <c r="D174" s="46"/>
      <c r="E174" s="47"/>
      <c r="F174" s="47"/>
      <c r="G174" s="11"/>
      <c r="U174" s="32">
        <v>6</v>
      </c>
      <c r="V174" s="32">
        <f t="shared" si="40"/>
        <v>0.21200000000000002</v>
      </c>
      <c r="W174" s="25">
        <f t="shared" si="35"/>
        <v>-97.81334536908803</v>
      </c>
      <c r="X174" s="25">
        <f t="shared" si="41"/>
        <v>-9.844441600000007</v>
      </c>
      <c r="Y174" s="25">
        <f t="shared" si="37"/>
        <v>98.3074949467654</v>
      </c>
      <c r="Z174" s="32">
        <v>0</v>
      </c>
      <c r="AA174" s="25">
        <f t="shared" si="38"/>
        <v>98.3074949467654</v>
      </c>
      <c r="AB174" s="25">
        <f t="shared" si="39"/>
        <v>0.023578081004089004</v>
      </c>
    </row>
    <row r="175" spans="2:28" ht="17.25" thickBot="1" thickTop="1">
      <c r="B175" s="45" t="s">
        <v>174</v>
      </c>
      <c r="C175" s="46"/>
      <c r="D175" s="46"/>
      <c r="E175" s="47"/>
      <c r="F175" s="47"/>
      <c r="G175" s="11"/>
      <c r="U175" s="32">
        <v>7</v>
      </c>
      <c r="V175" s="32">
        <f t="shared" si="40"/>
        <v>0.21400000000000002</v>
      </c>
      <c r="W175" s="25">
        <f aca="true" t="shared" si="42" ref="W175:W206">((-$E$92*V175)+($E$103*(V175-$B$83))+($E$85*(V175-$B$83-$B$85)))</f>
        <v>-96.39576065359398</v>
      </c>
      <c r="X175" s="25">
        <f t="shared" si="41"/>
        <v>-9.701768533333343</v>
      </c>
      <c r="Y175" s="25">
        <f t="shared" si="37"/>
        <v>96.88274864318907</v>
      </c>
      <c r="Z175" s="32">
        <v>0</v>
      </c>
      <c r="AA175" s="25">
        <f t="shared" si="38"/>
        <v>96.88274864318907</v>
      </c>
      <c r="AB175" s="25">
        <f t="shared" si="39"/>
        <v>0.023463622497650403</v>
      </c>
    </row>
    <row r="176" spans="2:28" ht="17.25" thickBot="1" thickTop="1">
      <c r="B176" s="45" t="s">
        <v>182</v>
      </c>
      <c r="C176" s="45"/>
      <c r="D176" s="45"/>
      <c r="E176" s="49"/>
      <c r="F176" s="47"/>
      <c r="G176" s="11"/>
      <c r="U176" s="32">
        <v>8</v>
      </c>
      <c r="V176" s="32">
        <f t="shared" si="40"/>
        <v>0.21600000000000003</v>
      </c>
      <c r="W176" s="25">
        <f t="shared" si="42"/>
        <v>-94.97817593809995</v>
      </c>
      <c r="X176" s="25">
        <f t="shared" si="41"/>
        <v>-9.559095466666676</v>
      </c>
      <c r="Y176" s="25">
        <f t="shared" si="37"/>
        <v>95.45800233961278</v>
      </c>
      <c r="Z176" s="32">
        <v>0</v>
      </c>
      <c r="AA176" s="25">
        <f t="shared" si="38"/>
        <v>95.45800233961278</v>
      </c>
      <c r="AB176" s="25">
        <f t="shared" si="39"/>
        <v>0.02334803627580885</v>
      </c>
    </row>
    <row r="177" spans="2:28" ht="17.25" thickBot="1" thickTop="1">
      <c r="B177" s="48">
        <v>0.008</v>
      </c>
      <c r="C177" s="45"/>
      <c r="D177" s="45"/>
      <c r="E177" s="49"/>
      <c r="F177" s="47"/>
      <c r="G177" s="11"/>
      <c r="U177" s="32">
        <v>9</v>
      </c>
      <c r="V177" s="32">
        <f t="shared" si="40"/>
        <v>0.21800000000000003</v>
      </c>
      <c r="W177" s="25">
        <f t="shared" si="42"/>
        <v>-93.56059122260594</v>
      </c>
      <c r="X177" s="25">
        <f t="shared" si="41"/>
        <v>-9.416422400000013</v>
      </c>
      <c r="Y177" s="25">
        <f t="shared" si="37"/>
        <v>94.03325603603646</v>
      </c>
      <c r="Z177" s="32">
        <v>0</v>
      </c>
      <c r="AA177" s="25">
        <f t="shared" si="38"/>
        <v>94.03325603603646</v>
      </c>
      <c r="AB177" s="25">
        <f t="shared" si="39"/>
        <v>0.02323129414382258</v>
      </c>
    </row>
    <row r="178" spans="2:28" ht="17.25" thickBot="1" thickTop="1">
      <c r="B178" s="45" t="s">
        <v>183</v>
      </c>
      <c r="C178" s="45"/>
      <c r="D178" s="45"/>
      <c r="E178" s="49"/>
      <c r="F178" s="47"/>
      <c r="G178" s="11"/>
      <c r="U178" s="32">
        <v>10</v>
      </c>
      <c r="V178" s="32">
        <f t="shared" si="40"/>
        <v>0.22000000000000003</v>
      </c>
      <c r="W178" s="25">
        <f t="shared" si="42"/>
        <v>-92.14300650711189</v>
      </c>
      <c r="X178" s="25">
        <f t="shared" si="41"/>
        <v>-9.273749333333347</v>
      </c>
      <c r="Y178" s="25">
        <f t="shared" si="37"/>
        <v>92.60850973246015</v>
      </c>
      <c r="Z178" s="32">
        <v>0</v>
      </c>
      <c r="AA178" s="25">
        <f t="shared" si="38"/>
        <v>92.60850973246015</v>
      </c>
      <c r="AB178" s="25">
        <f t="shared" si="39"/>
        <v>0.02311336676187959</v>
      </c>
    </row>
    <row r="179" spans="2:28" ht="17.25" thickBot="1" thickTop="1">
      <c r="B179" s="48">
        <v>0.008</v>
      </c>
      <c r="C179" s="46"/>
      <c r="D179" s="61"/>
      <c r="E179" s="62"/>
      <c r="F179" s="62"/>
      <c r="G179" s="11"/>
      <c r="U179" s="32">
        <v>11</v>
      </c>
      <c r="V179" s="32">
        <f t="shared" si="40"/>
        <v>0.222</v>
      </c>
      <c r="W179" s="25">
        <f t="shared" si="42"/>
        <v>-90.72542179161789</v>
      </c>
      <c r="X179" s="25">
        <f t="shared" si="41"/>
        <v>-9.13107626666667</v>
      </c>
      <c r="Y179" s="25">
        <f t="shared" si="37"/>
        <v>91.18376342888386</v>
      </c>
      <c r="Z179" s="32">
        <v>0</v>
      </c>
      <c r="AA179" s="25">
        <f t="shared" si="38"/>
        <v>91.18376342888386</v>
      </c>
      <c r="AB179" s="25">
        <f t="shared" si="39"/>
        <v>0.022994223580163283</v>
      </c>
    </row>
    <row r="180" spans="2:28" ht="17.25" thickBot="1" thickTop="1">
      <c r="B180" s="45" t="s">
        <v>184</v>
      </c>
      <c r="C180" s="45"/>
      <c r="D180" s="45"/>
      <c r="E180" s="63"/>
      <c r="F180" s="64"/>
      <c r="G180" s="11"/>
      <c r="U180" s="32">
        <v>12</v>
      </c>
      <c r="V180" s="32">
        <f t="shared" si="40"/>
        <v>0.224</v>
      </c>
      <c r="W180" s="25">
        <f t="shared" si="42"/>
        <v>-89.30783707612385</v>
      </c>
      <c r="X180" s="25">
        <f t="shared" si="41"/>
        <v>-8.988403200000004</v>
      </c>
      <c r="Y180" s="25">
        <f t="shared" si="37"/>
        <v>89.75901712530754</v>
      </c>
      <c r="Z180" s="32">
        <v>0</v>
      </c>
      <c r="AA180" s="25">
        <f t="shared" si="38"/>
        <v>89.75901712530754</v>
      </c>
      <c r="AB180" s="25">
        <f t="shared" si="39"/>
        <v>0.02287383276915746</v>
      </c>
    </row>
    <row r="181" spans="2:28" ht="17.25" thickBot="1" thickTop="1">
      <c r="B181" s="48">
        <v>0.008</v>
      </c>
      <c r="C181" s="46"/>
      <c r="D181" s="45"/>
      <c r="E181" s="65"/>
      <c r="F181" s="47"/>
      <c r="G181" s="11"/>
      <c r="U181" s="32">
        <v>13</v>
      </c>
      <c r="V181" s="32">
        <f t="shared" si="40"/>
        <v>0.226</v>
      </c>
      <c r="W181" s="25">
        <f t="shared" si="42"/>
        <v>-87.89025236062982</v>
      </c>
      <c r="X181" s="25">
        <f t="shared" si="41"/>
        <v>-8.845730133333367</v>
      </c>
      <c r="Y181" s="25">
        <f t="shared" si="37"/>
        <v>88.33427082173122</v>
      </c>
      <c r="Z181" s="32">
        <v>0</v>
      </c>
      <c r="AA181" s="25">
        <f t="shared" si="38"/>
        <v>88.33427082173122</v>
      </c>
      <c r="AB181" s="25">
        <f t="shared" si="39"/>
        <v>0.022752161144760894</v>
      </c>
    </row>
    <row r="182" spans="2:28" ht="17.25" thickBot="1" thickTop="1">
      <c r="B182" s="45" t="s">
        <v>185</v>
      </c>
      <c r="C182" s="52"/>
      <c r="D182" s="45"/>
      <c r="E182" s="47"/>
      <c r="F182" s="47"/>
      <c r="G182" s="11"/>
      <c r="U182" s="32">
        <v>14</v>
      </c>
      <c r="V182" s="32">
        <f t="shared" si="40"/>
        <v>0.228</v>
      </c>
      <c r="W182" s="25">
        <f t="shared" si="42"/>
        <v>-86.4726676451358</v>
      </c>
      <c r="X182" s="25">
        <f t="shared" si="41"/>
        <v>-8.703057066666702</v>
      </c>
      <c r="Y182" s="25">
        <f t="shared" si="37"/>
        <v>86.90952451815494</v>
      </c>
      <c r="Z182" s="32">
        <v>0</v>
      </c>
      <c r="AA182" s="25">
        <f t="shared" si="38"/>
        <v>86.90952451815494</v>
      </c>
      <c r="AB182" s="25">
        <f t="shared" si="39"/>
        <v>0.02262917408773358</v>
      </c>
    </row>
    <row r="183" spans="2:28" ht="17.25" thickBot="1" thickTop="1">
      <c r="B183" s="45" t="s">
        <v>186</v>
      </c>
      <c r="C183" s="46"/>
      <c r="D183" s="46"/>
      <c r="E183" s="47"/>
      <c r="F183" s="47"/>
      <c r="G183" s="11"/>
      <c r="U183" s="32">
        <v>15</v>
      </c>
      <c r="V183" s="32">
        <f t="shared" si="40"/>
        <v>0.23</v>
      </c>
      <c r="W183" s="25">
        <f t="shared" si="42"/>
        <v>-85.05508292964176</v>
      </c>
      <c r="X183" s="25">
        <f t="shared" si="41"/>
        <v>-8.560384000000008</v>
      </c>
      <c r="Y183" s="25">
        <f t="shared" si="37"/>
        <v>85.48477821457861</v>
      </c>
      <c r="Z183" s="32">
        <v>0</v>
      </c>
      <c r="AA183" s="25">
        <f t="shared" si="38"/>
        <v>85.48477821457861</v>
      </c>
      <c r="AB183" s="25">
        <f t="shared" si="39"/>
        <v>0.022504835456945815</v>
      </c>
    </row>
    <row r="184" spans="2:28" ht="17.25" thickBot="1" thickTop="1">
      <c r="B184" s="45" t="s">
        <v>187</v>
      </c>
      <c r="C184" s="45"/>
      <c r="D184" s="57"/>
      <c r="E184" s="58"/>
      <c r="F184" s="62"/>
      <c r="G184" s="11"/>
      <c r="U184" s="32">
        <v>16</v>
      </c>
      <c r="V184" s="32">
        <f t="shared" si="40"/>
        <v>0.232</v>
      </c>
      <c r="W184" s="25">
        <f t="shared" si="42"/>
        <v>-83.63749821414775</v>
      </c>
      <c r="X184" s="25">
        <f t="shared" si="41"/>
        <v>-8.417710933333343</v>
      </c>
      <c r="Y184" s="25">
        <f t="shared" si="37"/>
        <v>84.06003191100231</v>
      </c>
      <c r="Z184" s="32">
        <v>0</v>
      </c>
      <c r="AA184" s="25">
        <f t="shared" si="38"/>
        <v>84.06003191100231</v>
      </c>
      <c r="AB184" s="25">
        <f t="shared" si="39"/>
        <v>0.022379107495841013</v>
      </c>
    </row>
    <row r="185" spans="2:28" ht="17.25" thickBot="1" thickTop="1">
      <c r="B185" s="48">
        <v>1</v>
      </c>
      <c r="C185" s="45"/>
      <c r="D185" s="45"/>
      <c r="E185" s="49"/>
      <c r="F185" s="47"/>
      <c r="G185" s="11"/>
      <c r="U185" s="32">
        <v>17</v>
      </c>
      <c r="V185" s="32">
        <f t="shared" si="40"/>
        <v>0.234</v>
      </c>
      <c r="W185" s="25">
        <f t="shared" si="42"/>
        <v>-82.21991349865371</v>
      </c>
      <c r="X185" s="25">
        <f t="shared" si="41"/>
        <v>-8.275037866666677</v>
      </c>
      <c r="Y185" s="25">
        <f t="shared" si="37"/>
        <v>82.635285607426</v>
      </c>
      <c r="Z185" s="32">
        <v>0</v>
      </c>
      <c r="AA185" s="25">
        <f t="shared" si="38"/>
        <v>82.635285607426</v>
      </c>
      <c r="AB185" s="25">
        <f t="shared" si="39"/>
        <v>0.02225195073145674</v>
      </c>
    </row>
    <row r="186" spans="2:28" ht="17.25" thickBot="1" thickTop="1">
      <c r="B186" s="45" t="s">
        <v>188</v>
      </c>
      <c r="C186" s="45"/>
      <c r="D186" s="45"/>
      <c r="E186" s="49"/>
      <c r="F186" s="50"/>
      <c r="G186" s="11"/>
      <c r="U186" s="32">
        <v>18</v>
      </c>
      <c r="V186" s="32">
        <f t="shared" si="40"/>
        <v>0.23600000000000002</v>
      </c>
      <c r="W186" s="25">
        <f t="shared" si="42"/>
        <v>-80.8023287831597</v>
      </c>
      <c r="X186" s="25">
        <f t="shared" si="41"/>
        <v>-8.132364800000012</v>
      </c>
      <c r="Y186" s="25">
        <f t="shared" si="37"/>
        <v>81.2105393038497</v>
      </c>
      <c r="Z186" s="32">
        <v>0</v>
      </c>
      <c r="AA186" s="25">
        <f t="shared" si="38"/>
        <v>81.2105393038497</v>
      </c>
      <c r="AB186" s="25">
        <f t="shared" si="39"/>
        <v>0.022123323865272534</v>
      </c>
    </row>
    <row r="187" spans="2:28" ht="17.25" thickBot="1" thickTop="1">
      <c r="B187" s="48">
        <v>2</v>
      </c>
      <c r="C187" s="45"/>
      <c r="D187" s="45"/>
      <c r="E187" s="49"/>
      <c r="F187" s="47"/>
      <c r="G187" s="11"/>
      <c r="V187" s="32">
        <f t="shared" si="40"/>
        <v>0.23800000000000002</v>
      </c>
      <c r="W187" s="25">
        <f t="shared" si="42"/>
        <v>-79.38474406766564</v>
      </c>
      <c r="X187" s="25">
        <f t="shared" si="41"/>
        <v>-7.989691733333348</v>
      </c>
      <c r="Y187" s="25">
        <f t="shared" si="37"/>
        <v>79.78579300027336</v>
      </c>
      <c r="Z187" s="32">
        <v>0</v>
      </c>
      <c r="AA187" s="25">
        <f t="shared" si="38"/>
        <v>79.78579300027336</v>
      </c>
      <c r="AB187" s="25">
        <f t="shared" si="39"/>
        <v>0.02199318365506726</v>
      </c>
    </row>
    <row r="188" spans="2:28" ht="17.25" thickBot="1" thickTop="1">
      <c r="B188" s="45"/>
      <c r="C188" s="45"/>
      <c r="D188" s="45"/>
      <c r="E188" s="49"/>
      <c r="F188" s="47"/>
      <c r="G188" s="11"/>
      <c r="V188" s="32">
        <f t="shared" si="40"/>
        <v>0.24000000000000002</v>
      </c>
      <c r="W188" s="25">
        <f t="shared" si="42"/>
        <v>-77.96715935217162</v>
      </c>
      <c r="X188" s="25">
        <f t="shared" si="41"/>
        <v>-7.847018666666681</v>
      </c>
      <c r="Y188" s="25">
        <f t="shared" si="37"/>
        <v>78.36104669669706</v>
      </c>
      <c r="Z188" s="32">
        <v>0</v>
      </c>
      <c r="AA188" s="25">
        <f t="shared" si="38"/>
        <v>78.36104669669706</v>
      </c>
      <c r="AB188" s="25">
        <f t="shared" si="39"/>
        <v>0.021861484786869886</v>
      </c>
    </row>
    <row r="189" spans="2:28" ht="17.25" thickBot="1" thickTop="1">
      <c r="B189" s="45"/>
      <c r="C189" s="46"/>
      <c r="D189" s="46"/>
      <c r="E189" s="47"/>
      <c r="F189" s="47"/>
      <c r="G189" s="11"/>
      <c r="V189" s="32">
        <f t="shared" si="40"/>
        <v>0.24200000000000002</v>
      </c>
      <c r="W189" s="25">
        <f t="shared" si="42"/>
        <v>-76.54957463667758</v>
      </c>
      <c r="X189" s="25">
        <f t="shared" si="41"/>
        <v>-7.704345600000018</v>
      </c>
      <c r="Y189" s="25">
        <f t="shared" si="37"/>
        <v>76.93630039312075</v>
      </c>
      <c r="Z189" s="32">
        <v>0</v>
      </c>
      <c r="AA189" s="25">
        <f t="shared" si="38"/>
        <v>76.93630039312075</v>
      </c>
      <c r="AB189" s="25">
        <f t="shared" si="39"/>
        <v>0.021728179735977578</v>
      </c>
    </row>
    <row r="190" spans="2:28" ht="17.25" thickBot="1" thickTop="1">
      <c r="B190" s="45"/>
      <c r="C190" s="45"/>
      <c r="D190" s="46"/>
      <c r="E190" s="47"/>
      <c r="F190" s="47"/>
      <c r="G190" s="11"/>
      <c r="V190" s="32">
        <f t="shared" si="40"/>
        <v>0.24400000000000002</v>
      </c>
      <c r="W190" s="25">
        <f t="shared" si="42"/>
        <v>-75.13198992118352</v>
      </c>
      <c r="X190" s="25">
        <f t="shared" si="41"/>
        <v>-7.5616725333333505</v>
      </c>
      <c r="Y190" s="25">
        <f t="shared" si="37"/>
        <v>75.5115540895444</v>
      </c>
      <c r="Z190" s="32">
        <v>0</v>
      </c>
      <c r="AA190" s="25">
        <f t="shared" si="38"/>
        <v>75.5115540895444</v>
      </c>
      <c r="AB190" s="25">
        <f t="shared" si="39"/>
        <v>0.02159321861588539</v>
      </c>
    </row>
    <row r="191" spans="2:28" ht="17.25" thickBot="1" thickTop="1">
      <c r="B191" s="48"/>
      <c r="C191" s="45"/>
      <c r="D191" s="46"/>
      <c r="E191" s="47"/>
      <c r="F191" s="47"/>
      <c r="G191" s="11"/>
      <c r="V191" s="32">
        <f t="shared" si="40"/>
        <v>0.24600000000000002</v>
      </c>
      <c r="W191" s="25">
        <f t="shared" si="42"/>
        <v>-73.7144052056895</v>
      </c>
      <c r="X191" s="25">
        <f t="shared" si="41"/>
        <v>-7.418999466666687</v>
      </c>
      <c r="Y191" s="25">
        <f t="shared" si="37"/>
        <v>74.0868077859681</v>
      </c>
      <c r="Z191" s="32">
        <v>0</v>
      </c>
      <c r="AA191" s="25">
        <f t="shared" si="38"/>
        <v>74.0868077859681</v>
      </c>
      <c r="AB191" s="25">
        <f t="shared" si="39"/>
        <v>0.021456549013827424</v>
      </c>
    </row>
    <row r="192" spans="2:28" ht="17.25" thickBot="1" thickTop="1">
      <c r="B192" s="45"/>
      <c r="C192" s="45"/>
      <c r="D192" s="46"/>
      <c r="E192" s="47"/>
      <c r="F192" s="47"/>
      <c r="G192" s="11"/>
      <c r="V192" s="32">
        <f t="shared" si="40"/>
        <v>0.248</v>
      </c>
      <c r="W192" s="25">
        <f t="shared" si="42"/>
        <v>-72.2968204901955</v>
      </c>
      <c r="X192" s="25">
        <f t="shared" si="41"/>
        <v>-7.276326400000009</v>
      </c>
      <c r="Y192" s="25">
        <f t="shared" si="37"/>
        <v>72.66206148239182</v>
      </c>
      <c r="Z192" s="32">
        <v>0</v>
      </c>
      <c r="AA192" s="25">
        <f t="shared" si="38"/>
        <v>72.66206148239182</v>
      </c>
      <c r="AB192" s="25">
        <f t="shared" si="39"/>
        <v>0.02131811581146003</v>
      </c>
    </row>
    <row r="193" spans="2:28" ht="17.25" thickBot="1" thickTop="1">
      <c r="B193" s="45"/>
      <c r="C193" s="45"/>
      <c r="D193" s="46"/>
      <c r="E193" s="47"/>
      <c r="F193" s="47"/>
      <c r="G193" s="11"/>
      <c r="V193" s="32">
        <f t="shared" si="40"/>
        <v>0.25</v>
      </c>
      <c r="W193" s="25">
        <f t="shared" si="42"/>
        <v>-70.8792357747015</v>
      </c>
      <c r="X193" s="25">
        <f t="shared" si="41"/>
        <v>-7.133653333333342</v>
      </c>
      <c r="Y193" s="25">
        <f t="shared" si="37"/>
        <v>71.23731517881554</v>
      </c>
      <c r="Z193" s="32">
        <v>0</v>
      </c>
      <c r="AA193" s="25">
        <f t="shared" si="38"/>
        <v>71.23731517881554</v>
      </c>
      <c r="AB193" s="25">
        <f t="shared" si="39"/>
        <v>0.021177860989025268</v>
      </c>
    </row>
    <row r="194" spans="2:28" ht="17.25" thickBot="1" thickTop="1">
      <c r="B194" s="45"/>
      <c r="C194" s="46"/>
      <c r="D194" s="46"/>
      <c r="E194" s="47"/>
      <c r="F194" s="47"/>
      <c r="G194" s="11"/>
      <c r="V194" s="32">
        <f t="shared" si="40"/>
        <v>0.252</v>
      </c>
      <c r="W194" s="25">
        <f t="shared" si="42"/>
        <v>-69.46165105920744</v>
      </c>
      <c r="X194" s="25">
        <f t="shared" si="41"/>
        <v>-6.9909802666666785</v>
      </c>
      <c r="Y194" s="25">
        <f aca="true" t="shared" si="43" ref="Y194:Y225">((W194^2)+(X194^2))^0.5</f>
        <v>69.81256887523921</v>
      </c>
      <c r="Z194" s="32">
        <v>0</v>
      </c>
      <c r="AA194" s="25">
        <f aca="true" t="shared" si="44" ref="AA194:AA225">((Y194^2)+(Z194*$E$135)^2)^0.5</f>
        <v>69.81256887523921</v>
      </c>
      <c r="AB194" s="25">
        <f aca="true" t="shared" si="45" ref="AB194:AB225">((10*AA194)/((10^6)*$B$94))^(1/3)</f>
        <v>0.02103572341110909</v>
      </c>
    </row>
    <row r="195" spans="2:28" ht="17.25" thickBot="1" thickTop="1">
      <c r="B195" s="48"/>
      <c r="C195" s="52"/>
      <c r="D195" s="46"/>
      <c r="E195" s="47"/>
      <c r="F195" s="47"/>
      <c r="G195" s="11"/>
      <c r="V195" s="32">
        <f t="shared" si="40"/>
        <v>0.254</v>
      </c>
      <c r="W195" s="25">
        <f t="shared" si="42"/>
        <v>-68.04406634371338</v>
      </c>
      <c r="X195" s="25">
        <f t="shared" si="41"/>
        <v>-6.848307200000011</v>
      </c>
      <c r="Y195" s="25">
        <f t="shared" si="43"/>
        <v>68.38782257166287</v>
      </c>
      <c r="Z195" s="32">
        <v>0</v>
      </c>
      <c r="AA195" s="25">
        <f t="shared" si="44"/>
        <v>68.38782257166287</v>
      </c>
      <c r="AB195" s="25">
        <f t="shared" si="45"/>
        <v>0.02089163859185053</v>
      </c>
    </row>
    <row r="196" spans="2:28" ht="17.25" thickBot="1" thickTop="1">
      <c r="B196" s="45"/>
      <c r="C196" s="46"/>
      <c r="D196" s="46"/>
      <c r="E196" s="47"/>
      <c r="F196" s="47"/>
      <c r="G196" s="11"/>
      <c r="V196" s="32">
        <f t="shared" si="40"/>
        <v>0.256</v>
      </c>
      <c r="W196" s="25">
        <f t="shared" si="42"/>
        <v>-66.62648162821938</v>
      </c>
      <c r="X196" s="25">
        <f t="shared" si="41"/>
        <v>-6.705634133333376</v>
      </c>
      <c r="Y196" s="25">
        <f t="shared" si="43"/>
        <v>66.96307626808658</v>
      </c>
      <c r="Z196" s="32">
        <v>0</v>
      </c>
      <c r="AA196" s="25">
        <f t="shared" si="44"/>
        <v>66.96307626808658</v>
      </c>
      <c r="AB196" s="25">
        <f t="shared" si="45"/>
        <v>0.02074553843715834</v>
      </c>
    </row>
    <row r="197" spans="2:28" ht="17.25" thickBot="1" thickTop="1">
      <c r="B197" s="48"/>
      <c r="C197" s="46"/>
      <c r="D197" s="46"/>
      <c r="E197" s="47"/>
      <c r="F197" s="47"/>
      <c r="G197" s="11"/>
      <c r="V197" s="32">
        <f t="shared" si="40"/>
        <v>0.258</v>
      </c>
      <c r="W197" s="25">
        <f t="shared" si="42"/>
        <v>-65.20889691272535</v>
      </c>
      <c r="X197" s="25">
        <f t="shared" si="41"/>
        <v>-6.562961066666681</v>
      </c>
      <c r="Y197" s="25">
        <f t="shared" si="43"/>
        <v>65.53832996451027</v>
      </c>
      <c r="Z197" s="32">
        <v>0</v>
      </c>
      <c r="AA197" s="25">
        <f t="shared" si="44"/>
        <v>65.53832996451027</v>
      </c>
      <c r="AB197" s="25">
        <f t="shared" si="45"/>
        <v>0.020597350961142184</v>
      </c>
    </row>
    <row r="198" spans="2:28" ht="17.25" thickBot="1" thickTop="1">
      <c r="B198" s="45"/>
      <c r="C198" s="46"/>
      <c r="D198" s="46"/>
      <c r="E198" s="47"/>
      <c r="F198" s="47"/>
      <c r="G198" s="11"/>
      <c r="V198" s="32">
        <f t="shared" si="40"/>
        <v>0.26</v>
      </c>
      <c r="W198" s="25">
        <f t="shared" si="42"/>
        <v>-63.79131219723129</v>
      </c>
      <c r="X198" s="25">
        <f t="shared" si="41"/>
        <v>-6.420288000000017</v>
      </c>
      <c r="Y198" s="25">
        <f t="shared" si="43"/>
        <v>64.11358366093393</v>
      </c>
      <c r="Z198" s="32">
        <v>0</v>
      </c>
      <c r="AA198" s="25">
        <f t="shared" si="44"/>
        <v>64.11358366093393</v>
      </c>
      <c r="AB198" s="25">
        <f t="shared" si="45"/>
        <v>0.020446999973557575</v>
      </c>
    </row>
    <row r="199" spans="2:28" ht="17.25" thickBot="1" thickTop="1">
      <c r="B199" s="45"/>
      <c r="C199" s="46"/>
      <c r="D199" s="46"/>
      <c r="E199" s="47"/>
      <c r="F199" s="47"/>
      <c r="G199" s="11"/>
      <c r="V199" s="32">
        <f t="shared" si="40"/>
        <v>0.262</v>
      </c>
      <c r="W199" s="25">
        <f t="shared" si="42"/>
        <v>-62.37372748173726</v>
      </c>
      <c r="X199" s="25">
        <f t="shared" si="41"/>
        <v>-6.27761493333335</v>
      </c>
      <c r="Y199" s="25">
        <f t="shared" si="43"/>
        <v>62.68883735735761</v>
      </c>
      <c r="Z199" s="32">
        <v>0</v>
      </c>
      <c r="AA199" s="25">
        <f t="shared" si="44"/>
        <v>62.68883735735761</v>
      </c>
      <c r="AB199" s="25">
        <f t="shared" si="45"/>
        <v>0.02029440473458618</v>
      </c>
    </row>
    <row r="200" spans="2:28" ht="17.25" thickBot="1" thickTop="1">
      <c r="B200" s="48"/>
      <c r="C200" s="46"/>
      <c r="D200" s="46"/>
      <c r="E200" s="47"/>
      <c r="F200" s="47"/>
      <c r="G200" s="11"/>
      <c r="V200" s="32">
        <f t="shared" si="40"/>
        <v>0.264</v>
      </c>
      <c r="W200" s="25">
        <f t="shared" si="42"/>
        <v>-60.95614276624323</v>
      </c>
      <c r="X200" s="25">
        <f t="shared" si="41"/>
        <v>-6.134941866666686</v>
      </c>
      <c r="Y200" s="25">
        <f t="shared" si="43"/>
        <v>61.26409105378131</v>
      </c>
      <c r="Z200" s="32">
        <v>0</v>
      </c>
      <c r="AA200" s="25">
        <f t="shared" si="44"/>
        <v>61.26409105378131</v>
      </c>
      <c r="AB200" s="25">
        <f t="shared" si="45"/>
        <v>0.02013947957271068</v>
      </c>
    </row>
    <row r="201" spans="2:28" ht="17.25" thickBot="1" thickTop="1">
      <c r="B201" s="45"/>
      <c r="C201" s="46"/>
      <c r="D201" s="46"/>
      <c r="E201" s="47"/>
      <c r="F201" s="47"/>
      <c r="G201" s="11"/>
      <c r="V201" s="32">
        <f aca="true" t="shared" si="46" ref="V201:V218">(U99*($E$96/75))+$B$87+$B$85+$B$83</f>
        <v>0.266</v>
      </c>
      <c r="W201" s="25">
        <f t="shared" si="42"/>
        <v>-59.53855805074923</v>
      </c>
      <c r="X201" s="25">
        <f aca="true" t="shared" si="47" ref="X201:X232">((-$E$93*V201)+($E$110*(V201-$B$83))-($E$86*(V201-$B$83-$B$85-$B$87)))</f>
        <v>-5.992268799999991</v>
      </c>
      <c r="Y201" s="25">
        <f t="shared" si="43"/>
        <v>59.83934475020502</v>
      </c>
      <c r="Z201" s="32">
        <v>0</v>
      </c>
      <c r="AA201" s="25">
        <f t="shared" si="44"/>
        <v>59.83934475020502</v>
      </c>
      <c r="AB201" s="25">
        <f t="shared" si="45"/>
        <v>0.019982133460780968</v>
      </c>
    </row>
    <row r="202" spans="2:28" ht="17.25" thickBot="1" thickTop="1">
      <c r="B202" s="45"/>
      <c r="C202" s="46"/>
      <c r="D202" s="46"/>
      <c r="E202" s="47"/>
      <c r="F202" s="47"/>
      <c r="G202" s="11"/>
      <c r="V202" s="32">
        <f t="shared" si="46"/>
        <v>0.268</v>
      </c>
      <c r="W202" s="25">
        <f t="shared" si="42"/>
        <v>-58.12097333525517</v>
      </c>
      <c r="X202" s="25">
        <f t="shared" si="47"/>
        <v>-5.849595733333356</v>
      </c>
      <c r="Y202" s="25">
        <f t="shared" si="43"/>
        <v>58.41459844662869</v>
      </c>
      <c r="Z202" s="32">
        <v>0</v>
      </c>
      <c r="AA202" s="25">
        <f t="shared" si="44"/>
        <v>58.41459844662869</v>
      </c>
      <c r="AB202" s="25">
        <f t="shared" si="45"/>
        <v>0.01982226954458353</v>
      </c>
    </row>
    <row r="203" spans="2:28" ht="17.25" thickBot="1" thickTop="1">
      <c r="B203" s="45"/>
      <c r="C203" s="46"/>
      <c r="D203" s="46"/>
      <c r="E203" s="47"/>
      <c r="F203" s="47"/>
      <c r="G203" s="11"/>
      <c r="V203" s="32">
        <f t="shared" si="46"/>
        <v>0.27</v>
      </c>
      <c r="W203" s="25">
        <f t="shared" si="42"/>
        <v>-56.70338861976114</v>
      </c>
      <c r="X203" s="25">
        <f t="shared" si="47"/>
        <v>-5.706922666666692</v>
      </c>
      <c r="Y203" s="25">
        <f t="shared" si="43"/>
        <v>56.98985214305238</v>
      </c>
      <c r="Z203" s="32">
        <v>0</v>
      </c>
      <c r="AA203" s="25">
        <f t="shared" si="44"/>
        <v>56.98985214305238</v>
      </c>
      <c r="AB203" s="25">
        <f t="shared" si="45"/>
        <v>0.019659784617292664</v>
      </c>
    </row>
    <row r="204" spans="2:28" ht="17.25" thickBot="1" thickTop="1">
      <c r="B204" s="48"/>
      <c r="C204" s="46"/>
      <c r="D204" s="46"/>
      <c r="E204" s="47"/>
      <c r="F204" s="47"/>
      <c r="G204" s="11"/>
      <c r="V204" s="32">
        <f t="shared" si="46"/>
        <v>0.272</v>
      </c>
      <c r="W204" s="25">
        <f t="shared" si="42"/>
        <v>-55.28580390426714</v>
      </c>
      <c r="X204" s="25">
        <f t="shared" si="47"/>
        <v>-5.564249600000025</v>
      </c>
      <c r="Y204" s="25">
        <f t="shared" si="43"/>
        <v>55.56510583947609</v>
      </c>
      <c r="Z204" s="32">
        <v>0</v>
      </c>
      <c r="AA204" s="25">
        <f t="shared" si="44"/>
        <v>55.56510583947609</v>
      </c>
      <c r="AB204" s="25">
        <f t="shared" si="45"/>
        <v>0.01949456853206897</v>
      </c>
    </row>
    <row r="205" spans="2:28" ht="17.25" thickBot="1" thickTop="1">
      <c r="B205" s="45"/>
      <c r="C205" s="46"/>
      <c r="D205" s="46"/>
      <c r="E205" s="47"/>
      <c r="F205" s="47"/>
      <c r="G205" s="11"/>
      <c r="V205" s="32">
        <f t="shared" si="46"/>
        <v>0.274</v>
      </c>
      <c r="W205" s="25">
        <f t="shared" si="42"/>
        <v>-53.86821918877308</v>
      </c>
      <c r="X205" s="25">
        <f t="shared" si="47"/>
        <v>-5.4215765333333295</v>
      </c>
      <c r="Y205" s="25">
        <f t="shared" si="43"/>
        <v>54.140359535899755</v>
      </c>
      <c r="Z205" s="32">
        <v>0</v>
      </c>
      <c r="AA205" s="25">
        <f t="shared" si="44"/>
        <v>54.140359535899755</v>
      </c>
      <c r="AB205" s="25">
        <f t="shared" si="45"/>
        <v>0.019326503543736443</v>
      </c>
    </row>
    <row r="206" spans="2:28" ht="17.25" thickBot="1" thickTop="1">
      <c r="B206" s="48"/>
      <c r="C206" s="46"/>
      <c r="D206" s="46"/>
      <c r="E206" s="47"/>
      <c r="F206" s="47"/>
      <c r="G206" s="11"/>
      <c r="V206" s="32">
        <f t="shared" si="46"/>
        <v>0.276</v>
      </c>
      <c r="W206" s="25">
        <f t="shared" si="42"/>
        <v>-52.45063447327908</v>
      </c>
      <c r="X206" s="25">
        <f t="shared" si="47"/>
        <v>-5.278903466666662</v>
      </c>
      <c r="Y206" s="25">
        <f t="shared" si="43"/>
        <v>52.71561323232347</v>
      </c>
      <c r="Z206" s="32">
        <v>0</v>
      </c>
      <c r="AA206" s="25">
        <f t="shared" si="44"/>
        <v>52.71561323232347</v>
      </c>
      <c r="AB206" s="25">
        <f t="shared" si="45"/>
        <v>0.019155463568863176</v>
      </c>
    </row>
    <row r="207" spans="2:28" ht="17.25" thickBot="1" thickTop="1">
      <c r="B207" s="45"/>
      <c r="C207" s="46"/>
      <c r="D207" s="46"/>
      <c r="E207" s="47"/>
      <c r="F207" s="47"/>
      <c r="G207" s="11"/>
      <c r="V207" s="32">
        <f t="shared" si="46"/>
        <v>0.278</v>
      </c>
      <c r="W207" s="25">
        <f aca="true" t="shared" si="48" ref="W207:W242">((-$E$92*V207)+($E$103*(V207-$B$83))+($E$85*(V207-$B$83-$B$85)))</f>
        <v>-51.03304975778505</v>
      </c>
      <c r="X207" s="25">
        <f t="shared" si="47"/>
        <v>-5.136230399999995</v>
      </c>
      <c r="Y207" s="25">
        <f t="shared" si="43"/>
        <v>51.29086692874716</v>
      </c>
      <c r="Z207" s="32">
        <v>0</v>
      </c>
      <c r="AA207" s="25">
        <f t="shared" si="44"/>
        <v>51.29086692874716</v>
      </c>
      <c r="AB207" s="25">
        <f t="shared" si="45"/>
        <v>0.018981313351629114</v>
      </c>
    </row>
    <row r="208" spans="2:28" ht="17.25" thickBot="1" thickTop="1">
      <c r="B208" s="48"/>
      <c r="C208" s="46"/>
      <c r="D208" s="46"/>
      <c r="E208" s="47"/>
      <c r="F208" s="47"/>
      <c r="G208" s="11"/>
      <c r="V208" s="32">
        <f t="shared" si="46"/>
        <v>0.28</v>
      </c>
      <c r="W208" s="25">
        <f t="shared" si="48"/>
        <v>-49.61546504229099</v>
      </c>
      <c r="X208" s="25">
        <f t="shared" si="47"/>
        <v>-4.9935573333333565</v>
      </c>
      <c r="Y208" s="25">
        <f t="shared" si="43"/>
        <v>49.866120625170815</v>
      </c>
      <c r="Z208" s="32">
        <v>0</v>
      </c>
      <c r="AA208" s="25">
        <f t="shared" si="44"/>
        <v>49.866120625170815</v>
      </c>
      <c r="AB208" s="25">
        <f t="shared" si="45"/>
        <v>0.018803907520504037</v>
      </c>
    </row>
    <row r="209" spans="2:28" ht="17.25" thickBot="1" thickTop="1">
      <c r="B209" s="45"/>
      <c r="C209" s="46"/>
      <c r="D209" s="46"/>
      <c r="E209" s="47"/>
      <c r="F209" s="47"/>
      <c r="G209" s="11"/>
      <c r="V209" s="32">
        <f t="shared" si="46"/>
        <v>0.28200000000000003</v>
      </c>
      <c r="W209" s="25">
        <f t="shared" si="48"/>
        <v>-48.19788032679699</v>
      </c>
      <c r="X209" s="25">
        <f t="shared" si="47"/>
        <v>-4.850884266666689</v>
      </c>
      <c r="Y209" s="25">
        <f t="shared" si="43"/>
        <v>48.44137432159454</v>
      </c>
      <c r="Z209" s="32">
        <v>0</v>
      </c>
      <c r="AA209" s="25">
        <f t="shared" si="44"/>
        <v>48.44137432159454</v>
      </c>
      <c r="AB209" s="25">
        <f t="shared" si="45"/>
        <v>0.018623089517877486</v>
      </c>
    </row>
    <row r="210" spans="2:28" ht="17.25" thickBot="1" thickTop="1">
      <c r="B210" s="48"/>
      <c r="C210" s="46"/>
      <c r="D210" s="46"/>
      <c r="E210" s="47"/>
      <c r="F210" s="47"/>
      <c r="G210" s="11"/>
      <c r="V210" s="32">
        <f t="shared" si="46"/>
        <v>0.28400000000000003</v>
      </c>
      <c r="W210" s="25">
        <f t="shared" si="48"/>
        <v>-46.78029561130296</v>
      </c>
      <c r="X210" s="25">
        <f t="shared" si="47"/>
        <v>-4.708211200000001</v>
      </c>
      <c r="Y210" s="25">
        <f t="shared" si="43"/>
        <v>47.016628018018224</v>
      </c>
      <c r="Z210" s="32">
        <v>0</v>
      </c>
      <c r="AA210" s="25">
        <f t="shared" si="44"/>
        <v>47.016628018018224</v>
      </c>
      <c r="AB210" s="25">
        <f t="shared" si="45"/>
        <v>0.018438690381243315</v>
      </c>
    </row>
    <row r="211" spans="2:28" ht="17.25" thickBot="1" thickTop="1">
      <c r="B211" s="45"/>
      <c r="C211" s="46"/>
      <c r="D211" s="46"/>
      <c r="E211" s="47"/>
      <c r="F211" s="47"/>
      <c r="G211" s="11"/>
      <c r="V211" s="32">
        <f t="shared" si="46"/>
        <v>0.28600000000000003</v>
      </c>
      <c r="W211" s="25">
        <f t="shared" si="48"/>
        <v>-45.36271089580896</v>
      </c>
      <c r="X211" s="25">
        <f t="shared" si="47"/>
        <v>-4.565538133333334</v>
      </c>
      <c r="Y211" s="25">
        <f t="shared" si="43"/>
        <v>45.591881714441946</v>
      </c>
      <c r="Z211" s="32">
        <v>0</v>
      </c>
      <c r="AA211" s="25">
        <f t="shared" si="44"/>
        <v>45.591881714441946</v>
      </c>
      <c r="AB211" s="25">
        <f t="shared" si="45"/>
        <v>0.018250527350171592</v>
      </c>
    </row>
    <row r="212" spans="2:28" ht="17.25" thickBot="1" thickTop="1">
      <c r="B212" s="48"/>
      <c r="C212" s="46"/>
      <c r="D212" s="46"/>
      <c r="E212" s="47"/>
      <c r="F212" s="47"/>
      <c r="G212" s="11"/>
      <c r="V212" s="32">
        <f t="shared" si="46"/>
        <v>0.28800000000000003</v>
      </c>
      <c r="W212" s="25">
        <f t="shared" si="48"/>
        <v>-43.9451261803149</v>
      </c>
      <c r="X212" s="25">
        <f t="shared" si="47"/>
        <v>-4.422865066666667</v>
      </c>
      <c r="Y212" s="25">
        <f t="shared" si="43"/>
        <v>44.167135410865605</v>
      </c>
      <c r="Z212" s="32">
        <v>0</v>
      </c>
      <c r="AA212" s="25">
        <f t="shared" si="44"/>
        <v>44.167135410865605</v>
      </c>
      <c r="AB212" s="25">
        <f t="shared" si="45"/>
        <v>0.018058402267871723</v>
      </c>
    </row>
    <row r="213" spans="2:28" ht="17.25" thickBot="1" thickTop="1">
      <c r="B213" s="45"/>
      <c r="C213" s="46"/>
      <c r="D213" s="46"/>
      <c r="E213" s="47"/>
      <c r="F213" s="47"/>
      <c r="G213" s="11"/>
      <c r="V213" s="32">
        <f t="shared" si="46"/>
        <v>0.29000000000000004</v>
      </c>
      <c r="W213" s="25">
        <f t="shared" si="48"/>
        <v>-42.52754146482087</v>
      </c>
      <c r="X213" s="25">
        <f t="shared" si="47"/>
        <v>-4.280192000000035</v>
      </c>
      <c r="Y213" s="25">
        <f t="shared" si="43"/>
        <v>42.7423891072893</v>
      </c>
      <c r="Z213" s="32">
        <v>0</v>
      </c>
      <c r="AA213" s="25">
        <f t="shared" si="44"/>
        <v>42.7423891072893</v>
      </c>
      <c r="AB213" s="25">
        <f t="shared" si="45"/>
        <v>0.017862099739363518</v>
      </c>
    </row>
    <row r="214" spans="2:28" ht="17.25" thickBot="1" thickTop="1">
      <c r="B214" s="48"/>
      <c r="C214" s="46"/>
      <c r="D214" s="46"/>
      <c r="E214" s="47"/>
      <c r="F214" s="47"/>
      <c r="G214" s="11"/>
      <c r="V214" s="32">
        <f t="shared" si="46"/>
        <v>0.29200000000000004</v>
      </c>
      <c r="W214" s="25">
        <f t="shared" si="48"/>
        <v>-41.10995674932687</v>
      </c>
      <c r="X214" s="25">
        <f t="shared" si="47"/>
        <v>-4.1375189333333395</v>
      </c>
      <c r="Y214" s="25">
        <f t="shared" si="43"/>
        <v>41.317642803713014</v>
      </c>
      <c r="Z214" s="32">
        <v>0</v>
      </c>
      <c r="AA214" s="25">
        <f t="shared" si="44"/>
        <v>41.317642803713014</v>
      </c>
      <c r="AB214" s="25">
        <f t="shared" si="45"/>
        <v>0.01766138499972949</v>
      </c>
    </row>
    <row r="215" spans="2:28" ht="17.25" thickBot="1" thickTop="1">
      <c r="B215" s="45"/>
      <c r="C215" s="46"/>
      <c r="D215" s="46"/>
      <c r="E215" s="47"/>
      <c r="F215" s="47"/>
      <c r="G215" s="11"/>
      <c r="V215" s="32">
        <f t="shared" si="46"/>
        <v>0.29400000000000004</v>
      </c>
      <c r="W215" s="25">
        <f t="shared" si="48"/>
        <v>-39.69237203383278</v>
      </c>
      <c r="X215" s="25">
        <f t="shared" si="47"/>
        <v>-3.9948458666666724</v>
      </c>
      <c r="Y215" s="25">
        <f t="shared" si="43"/>
        <v>39.892896500136644</v>
      </c>
      <c r="Z215" s="32">
        <v>0</v>
      </c>
      <c r="AA215" s="25">
        <f t="shared" si="44"/>
        <v>39.892896500136644</v>
      </c>
      <c r="AB215" s="25">
        <f t="shared" si="45"/>
        <v>0.017456001435091777</v>
      </c>
    </row>
    <row r="216" spans="2:28" ht="17.25" thickBot="1" thickTop="1">
      <c r="B216" s="48"/>
      <c r="C216" s="46"/>
      <c r="D216" s="46"/>
      <c r="E216" s="47"/>
      <c r="F216" s="47"/>
      <c r="G216" s="11"/>
      <c r="V216" s="32">
        <f t="shared" si="46"/>
        <v>0.29599999999999993</v>
      </c>
      <c r="W216" s="25">
        <f t="shared" si="48"/>
        <v>-38.274787318338866</v>
      </c>
      <c r="X216" s="25">
        <f t="shared" si="47"/>
        <v>-3.8521728000000124</v>
      </c>
      <c r="Y216" s="25">
        <f t="shared" si="43"/>
        <v>38.46815019656045</v>
      </c>
      <c r="Z216" s="32">
        <v>0</v>
      </c>
      <c r="AA216" s="25">
        <f t="shared" si="44"/>
        <v>38.46815019656045</v>
      </c>
      <c r="AB216" s="25">
        <f t="shared" si="45"/>
        <v>0.01724566768512248</v>
      </c>
    </row>
    <row r="217" spans="2:28" ht="17.25" thickBot="1" thickTop="1">
      <c r="B217" s="45"/>
      <c r="C217" s="46"/>
      <c r="D217" s="46"/>
      <c r="E217" s="47"/>
      <c r="F217" s="47"/>
      <c r="G217" s="11"/>
      <c r="V217" s="32">
        <f t="shared" si="46"/>
        <v>0.29799999999999993</v>
      </c>
      <c r="W217" s="25">
        <f t="shared" si="48"/>
        <v>-36.857202602844836</v>
      </c>
      <c r="X217" s="25">
        <f t="shared" si="47"/>
        <v>-3.7094997333333453</v>
      </c>
      <c r="Y217" s="25">
        <f t="shared" si="43"/>
        <v>37.04340389298414</v>
      </c>
      <c r="Z217" s="32">
        <v>0</v>
      </c>
      <c r="AA217" s="25">
        <f t="shared" si="44"/>
        <v>37.04340389298414</v>
      </c>
      <c r="AB217" s="25">
        <f t="shared" si="45"/>
        <v>0.017030074238078455</v>
      </c>
    </row>
    <row r="218" spans="2:28" ht="17.25" thickBot="1" thickTop="1">
      <c r="B218" s="48"/>
      <c r="C218" s="46"/>
      <c r="D218" s="46"/>
      <c r="E218" s="47"/>
      <c r="F218" s="47"/>
      <c r="G218" s="11"/>
      <c r="V218" s="32">
        <f t="shared" si="46"/>
        <v>0.29999999999999993</v>
      </c>
      <c r="W218" s="25">
        <f t="shared" si="48"/>
        <v>-35.43961788735078</v>
      </c>
      <c r="X218" s="25">
        <f t="shared" si="47"/>
        <v>-3.5668266666666852</v>
      </c>
      <c r="Y218" s="25">
        <f t="shared" si="43"/>
        <v>35.6186575894078</v>
      </c>
      <c r="Z218" s="32">
        <v>0</v>
      </c>
      <c r="AA218" s="25">
        <f t="shared" si="44"/>
        <v>35.6186575894078</v>
      </c>
      <c r="AB218" s="25">
        <f t="shared" si="45"/>
        <v>0.016808879406207507</v>
      </c>
    </row>
    <row r="219" spans="2:28" ht="17.25" thickBot="1" thickTop="1">
      <c r="B219" s="45"/>
      <c r="C219" s="46"/>
      <c r="D219" s="46"/>
      <c r="E219" s="47"/>
      <c r="F219" s="47"/>
      <c r="G219" s="11"/>
      <c r="V219" s="32">
        <f aca="true" t="shared" si="49" ref="V219:V243">(($U$116+U117)*($E$96/75))+$B$87+$B$85+$B$83</f>
        <v>0.30199999999999994</v>
      </c>
      <c r="W219" s="25">
        <f t="shared" si="48"/>
        <v>-34.02203317185675</v>
      </c>
      <c r="X219" s="25">
        <f t="shared" si="47"/>
        <v>-3.424153600000018</v>
      </c>
      <c r="Y219" s="25">
        <f t="shared" si="43"/>
        <v>34.19391128583149</v>
      </c>
      <c r="Z219" s="32">
        <v>0</v>
      </c>
      <c r="AA219" s="25">
        <f t="shared" si="44"/>
        <v>34.19391128583149</v>
      </c>
      <c r="AB219" s="25">
        <f t="shared" si="45"/>
        <v>0.0165817045390215</v>
      </c>
    </row>
    <row r="220" spans="2:28" ht="17.25" thickBot="1" thickTop="1">
      <c r="B220" s="48"/>
      <c r="C220" s="46"/>
      <c r="D220" s="46"/>
      <c r="E220" s="47"/>
      <c r="F220" s="47"/>
      <c r="G220" s="11"/>
      <c r="V220" s="32">
        <f t="shared" si="49"/>
        <v>0.30399999999999994</v>
      </c>
      <c r="W220" s="25">
        <f t="shared" si="48"/>
        <v>-32.60444845636272</v>
      </c>
      <c r="X220" s="25">
        <f t="shared" si="47"/>
        <v>-3.2814805333333226</v>
      </c>
      <c r="Y220" s="25">
        <f t="shared" si="43"/>
        <v>32.76916498225518</v>
      </c>
      <c r="Z220" s="32">
        <v>0</v>
      </c>
      <c r="AA220" s="25">
        <f t="shared" si="44"/>
        <v>32.76916498225518</v>
      </c>
      <c r="AB220" s="25">
        <f t="shared" si="45"/>
        <v>0.01634812829173766</v>
      </c>
    </row>
    <row r="221" spans="2:28" ht="17.25" thickBot="1" thickTop="1">
      <c r="B221" s="45"/>
      <c r="C221" s="46"/>
      <c r="D221" s="46"/>
      <c r="E221" s="47"/>
      <c r="F221" s="47"/>
      <c r="G221" s="11"/>
      <c r="V221" s="32">
        <f t="shared" si="49"/>
        <v>0.30599999999999994</v>
      </c>
      <c r="W221" s="25">
        <f t="shared" si="48"/>
        <v>-31.18686374086866</v>
      </c>
      <c r="X221" s="25">
        <f t="shared" si="47"/>
        <v>-3.1388074666666554</v>
      </c>
      <c r="Y221" s="25">
        <f t="shared" si="43"/>
        <v>31.344418678678835</v>
      </c>
      <c r="Z221" s="32">
        <v>0</v>
      </c>
      <c r="AA221" s="25">
        <f t="shared" si="44"/>
        <v>31.344418678678835</v>
      </c>
      <c r="AB221" s="25">
        <f t="shared" si="45"/>
        <v>0.01610767971237526</v>
      </c>
    </row>
    <row r="222" spans="2:28" ht="17.25" thickBot="1" thickTop="1">
      <c r="B222" s="48"/>
      <c r="C222" s="46"/>
      <c r="D222" s="46"/>
      <c r="E222" s="47"/>
      <c r="F222" s="47"/>
      <c r="G222" s="11"/>
      <c r="V222" s="32">
        <f t="shared" si="49"/>
        <v>0.30799999999999994</v>
      </c>
      <c r="W222" s="25">
        <f t="shared" si="48"/>
        <v>-29.769279025374658</v>
      </c>
      <c r="X222" s="25">
        <f t="shared" si="47"/>
        <v>-2.996134400000024</v>
      </c>
      <c r="Y222" s="25">
        <f t="shared" si="43"/>
        <v>29.919672375102554</v>
      </c>
      <c r="Z222" s="32">
        <v>0</v>
      </c>
      <c r="AA222" s="25">
        <f t="shared" si="44"/>
        <v>29.919672375102554</v>
      </c>
      <c r="AB222" s="25">
        <f t="shared" si="45"/>
        <v>0.015859829838106337</v>
      </c>
    </row>
    <row r="223" spans="2:28" ht="17.25" thickBot="1" thickTop="1">
      <c r="B223" s="45"/>
      <c r="C223" s="46"/>
      <c r="D223" s="46"/>
      <c r="E223" s="47"/>
      <c r="F223" s="47"/>
      <c r="G223" s="11"/>
      <c r="V223" s="32">
        <f t="shared" si="49"/>
        <v>0.30999999999999994</v>
      </c>
      <c r="W223" s="25">
        <f t="shared" si="48"/>
        <v>-28.351694309880628</v>
      </c>
      <c r="X223" s="25">
        <f t="shared" si="47"/>
        <v>-2.8534613333333567</v>
      </c>
      <c r="Y223" s="25">
        <f t="shared" si="43"/>
        <v>28.494926071526244</v>
      </c>
      <c r="Z223" s="32">
        <v>0</v>
      </c>
      <c r="AA223" s="25">
        <f t="shared" si="44"/>
        <v>28.494926071526244</v>
      </c>
      <c r="AB223" s="25">
        <f t="shared" si="45"/>
        <v>0.015603981391479312</v>
      </c>
    </row>
    <row r="224" spans="2:28" ht="17.25" thickBot="1" thickTop="1">
      <c r="B224" s="48"/>
      <c r="C224" s="46"/>
      <c r="D224" s="46"/>
      <c r="E224" s="47"/>
      <c r="F224" s="47"/>
      <c r="G224" s="11"/>
      <c r="V224" s="32">
        <f t="shared" si="49"/>
        <v>0.31199999999999994</v>
      </c>
      <c r="W224" s="25">
        <f t="shared" si="48"/>
        <v>-26.93410959438657</v>
      </c>
      <c r="X224" s="25">
        <f t="shared" si="47"/>
        <v>-2.7107882666666896</v>
      </c>
      <c r="Y224" s="25">
        <f t="shared" si="43"/>
        <v>27.070179767949906</v>
      </c>
      <c r="Z224" s="32">
        <v>0</v>
      </c>
      <c r="AA224" s="25">
        <f t="shared" si="44"/>
        <v>27.070179767949906</v>
      </c>
      <c r="AB224" s="25">
        <f t="shared" si="45"/>
        <v>0.015339456028097187</v>
      </c>
    </row>
    <row r="225" spans="2:28" ht="17.25" thickBot="1" thickTop="1">
      <c r="B225" s="14"/>
      <c r="C225" s="14"/>
      <c r="D225" s="14"/>
      <c r="E225" s="14"/>
      <c r="F225" s="14"/>
      <c r="V225" s="32">
        <f t="shared" si="49"/>
        <v>0.31399999999999995</v>
      </c>
      <c r="W225" s="25">
        <f t="shared" si="48"/>
        <v>-25.516524878892568</v>
      </c>
      <c r="X225" s="25">
        <f t="shared" si="47"/>
        <v>-2.568115200000001</v>
      </c>
      <c r="Y225" s="25">
        <f t="shared" si="43"/>
        <v>25.64543346437362</v>
      </c>
      <c r="Z225" s="32">
        <v>0</v>
      </c>
      <c r="AA225" s="25">
        <f t="shared" si="44"/>
        <v>25.64543346437362</v>
      </c>
      <c r="AB225" s="25">
        <f t="shared" si="45"/>
        <v>0.015065478391057062</v>
      </c>
    </row>
    <row r="226" spans="22:28" ht="17.25" thickBot="1" thickTop="1">
      <c r="V226" s="32">
        <f t="shared" si="49"/>
        <v>0.31599999999999995</v>
      </c>
      <c r="W226" s="25">
        <f t="shared" si="48"/>
        <v>-24.098940163398538</v>
      </c>
      <c r="X226" s="25">
        <f t="shared" si="47"/>
        <v>-2.425442133333334</v>
      </c>
      <c r="Y226" s="25">
        <f aca="true" t="shared" si="50" ref="Y226:Y243">((W226^2)+(X226^2))^0.5</f>
        <v>24.22068716079731</v>
      </c>
      <c r="Z226" s="32">
        <v>0</v>
      </c>
      <c r="AA226" s="25">
        <f aca="true" t="shared" si="51" ref="AA226:AA243">((Y226^2)+(Z226*$E$135)^2)^0.5</f>
        <v>24.22068716079731</v>
      </c>
      <c r="AB226" s="25">
        <f aca="true" t="shared" si="52" ref="AB226:AB243">((10*AA226)/((10^6)*$B$94))^(1/3)</f>
        <v>0.014781155945788339</v>
      </c>
    </row>
    <row r="227" spans="22:28" ht="17.25" thickBot="1" thickTop="1">
      <c r="V227" s="32">
        <f t="shared" si="49"/>
        <v>0.31799999999999995</v>
      </c>
      <c r="W227" s="25">
        <f t="shared" si="48"/>
        <v>-22.681355447904537</v>
      </c>
      <c r="X227" s="25">
        <f t="shared" si="47"/>
        <v>-2.282769066666667</v>
      </c>
      <c r="Y227" s="25">
        <f t="shared" si="50"/>
        <v>22.795940857221026</v>
      </c>
      <c r="Z227" s="32">
        <v>0</v>
      </c>
      <c r="AA227" s="25">
        <f t="shared" si="51"/>
        <v>22.795940857221026</v>
      </c>
      <c r="AB227" s="25">
        <f t="shared" si="52"/>
        <v>0.014485453157318393</v>
      </c>
    </row>
    <row r="228" spans="22:28" ht="17.25" thickBot="1" thickTop="1">
      <c r="V228" s="32">
        <f t="shared" si="49"/>
        <v>0.31999999999999995</v>
      </c>
      <c r="W228" s="25">
        <f t="shared" si="48"/>
        <v>-21.263770732410478</v>
      </c>
      <c r="X228" s="25">
        <f t="shared" si="47"/>
        <v>-2.1400959999999998</v>
      </c>
      <c r="Y228" s="25">
        <f t="shared" si="50"/>
        <v>21.37119455364469</v>
      </c>
      <c r="Z228" s="32">
        <v>0</v>
      </c>
      <c r="AA228" s="25">
        <f t="shared" si="51"/>
        <v>21.37119455364469</v>
      </c>
      <c r="AB228" s="25">
        <f t="shared" si="52"/>
        <v>0.01417715795831329</v>
      </c>
    </row>
    <row r="229" spans="22:28" ht="17.25" thickBot="1" thickTop="1">
      <c r="V229" s="32">
        <f t="shared" si="49"/>
        <v>0.32199999999999995</v>
      </c>
      <c r="W229" s="25">
        <f t="shared" si="48"/>
        <v>-19.846186016916448</v>
      </c>
      <c r="X229" s="25">
        <f t="shared" si="47"/>
        <v>-1.9974229333333398</v>
      </c>
      <c r="Y229" s="25">
        <f t="shared" si="50"/>
        <v>19.94644825006838</v>
      </c>
      <c r="Z229" s="32">
        <v>0</v>
      </c>
      <c r="AA229" s="25">
        <f t="shared" si="51"/>
        <v>19.94644825006838</v>
      </c>
      <c r="AB229" s="25">
        <f t="shared" si="52"/>
        <v>0.01385483752061156</v>
      </c>
    </row>
    <row r="230" spans="22:28" ht="17.25" thickBot="1" thickTop="1">
      <c r="V230" s="32">
        <f t="shared" si="49"/>
        <v>0.32399999999999995</v>
      </c>
      <c r="W230" s="25">
        <f t="shared" si="48"/>
        <v>-18.428601301422447</v>
      </c>
      <c r="X230" s="25">
        <f t="shared" si="47"/>
        <v>-1.8547498666666726</v>
      </c>
      <c r="Y230" s="25">
        <f t="shared" si="50"/>
        <v>18.521701946492094</v>
      </c>
      <c r="Z230" s="32">
        <v>0</v>
      </c>
      <c r="AA230" s="25">
        <f t="shared" si="51"/>
        <v>18.521701946492094</v>
      </c>
      <c r="AB230" s="25">
        <f t="shared" si="52"/>
        <v>0.01351677888031114</v>
      </c>
    </row>
    <row r="231" spans="22:28" ht="17.25" thickBot="1" thickTop="1">
      <c r="V231" s="32">
        <f t="shared" si="49"/>
        <v>0.32599999999999996</v>
      </c>
      <c r="W231" s="25">
        <f t="shared" si="48"/>
        <v>-17.011016585928388</v>
      </c>
      <c r="X231" s="25">
        <f t="shared" si="47"/>
        <v>-1.7120768000000126</v>
      </c>
      <c r="Y231" s="25">
        <f t="shared" si="50"/>
        <v>17.09695564291576</v>
      </c>
      <c r="Z231" s="32">
        <v>0</v>
      </c>
      <c r="AA231" s="25">
        <f t="shared" si="51"/>
        <v>17.09695564291576</v>
      </c>
      <c r="AB231" s="25">
        <f t="shared" si="52"/>
        <v>0.013160907614334291</v>
      </c>
    </row>
    <row r="232" spans="22:28" ht="17.25" thickBot="1" thickTop="1">
      <c r="V232" s="32">
        <f t="shared" si="49"/>
        <v>0.32799999999999996</v>
      </c>
      <c r="W232" s="25">
        <f t="shared" si="48"/>
        <v>-15.593431870434358</v>
      </c>
      <c r="X232" s="25">
        <f t="shared" si="47"/>
        <v>-1.5694037333333455</v>
      </c>
      <c r="Y232" s="25">
        <f t="shared" si="50"/>
        <v>15.672209339339448</v>
      </c>
      <c r="Z232" s="32">
        <v>0</v>
      </c>
      <c r="AA232" s="25">
        <f t="shared" si="51"/>
        <v>15.672209339339448</v>
      </c>
      <c r="AB232" s="25">
        <f t="shared" si="52"/>
        <v>0.01278467386009567</v>
      </c>
    </row>
    <row r="233" spans="22:28" ht="17.25" thickBot="1" thickTop="1">
      <c r="V233" s="32">
        <f t="shared" si="49"/>
        <v>0.32999999999999996</v>
      </c>
      <c r="W233" s="25">
        <f t="shared" si="48"/>
        <v>-14.175847154940357</v>
      </c>
      <c r="X233" s="25">
        <f aca="true" t="shared" si="53" ref="X233:X242">((-$E$93*V233)+($E$110*(V233-$B$83))-($E$86*(V233-$B$83-$B$85-$B$87)))</f>
        <v>-1.4267306666667139</v>
      </c>
      <c r="Y233" s="25">
        <f t="shared" si="50"/>
        <v>14.24746303576317</v>
      </c>
      <c r="Z233" s="32">
        <v>0</v>
      </c>
      <c r="AA233" s="25">
        <f t="shared" si="51"/>
        <v>14.24746303576317</v>
      </c>
      <c r="AB233" s="25">
        <f t="shared" si="52"/>
        <v>0.012384888237863248</v>
      </c>
    </row>
    <row r="234" spans="22:28" ht="17.25" thickBot="1" thickTop="1">
      <c r="V234" s="32">
        <f t="shared" si="49"/>
        <v>0.33199999999999996</v>
      </c>
      <c r="W234" s="25">
        <f t="shared" si="48"/>
        <v>-12.758262439446298</v>
      </c>
      <c r="X234" s="25">
        <f t="shared" si="53"/>
        <v>-1.2840576000000468</v>
      </c>
      <c r="Y234" s="25">
        <f t="shared" si="50"/>
        <v>12.822716732186828</v>
      </c>
      <c r="Z234" s="32">
        <v>0</v>
      </c>
      <c r="AA234" s="25">
        <f t="shared" si="51"/>
        <v>12.822716732186828</v>
      </c>
      <c r="AB234" s="25">
        <f t="shared" si="52"/>
        <v>0.011957478123184082</v>
      </c>
    </row>
    <row r="235" spans="22:28" ht="17.25" thickBot="1" thickTop="1">
      <c r="V235" s="32">
        <f t="shared" si="49"/>
        <v>0.33399999999999996</v>
      </c>
      <c r="W235" s="25">
        <f t="shared" si="48"/>
        <v>-11.340677723952211</v>
      </c>
      <c r="X235" s="25">
        <f t="shared" si="53"/>
        <v>-1.1413845333333796</v>
      </c>
      <c r="Y235" s="25">
        <f t="shared" si="50"/>
        <v>11.397970428610462</v>
      </c>
      <c r="Z235" s="32">
        <v>0</v>
      </c>
      <c r="AA235" s="25">
        <f t="shared" si="51"/>
        <v>11.397970428610462</v>
      </c>
      <c r="AB235" s="25">
        <f t="shared" si="52"/>
        <v>0.01149711179008164</v>
      </c>
    </row>
    <row r="236" spans="22:28" ht="17.25" thickBot="1" thickTop="1">
      <c r="V236" s="32">
        <f t="shared" si="49"/>
        <v>0.33599999999999997</v>
      </c>
      <c r="W236" s="25">
        <f t="shared" si="48"/>
        <v>-9.923093008458267</v>
      </c>
      <c r="X236" s="25">
        <f t="shared" si="53"/>
        <v>-0.9987114666666557</v>
      </c>
      <c r="Y236" s="25">
        <f t="shared" si="50"/>
        <v>9.97322412503423</v>
      </c>
      <c r="Z236" s="32">
        <v>0</v>
      </c>
      <c r="AA236" s="25">
        <f t="shared" si="51"/>
        <v>9.97322412503423</v>
      </c>
      <c r="AB236" s="25">
        <f t="shared" si="52"/>
        <v>0.010996591827533648</v>
      </c>
    </row>
    <row r="237" spans="22:28" ht="17.25" thickBot="1" thickTop="1">
      <c r="V237" s="32">
        <f t="shared" si="49"/>
        <v>0.33799999999999997</v>
      </c>
      <c r="W237" s="25">
        <f t="shared" si="48"/>
        <v>-8.505508292964208</v>
      </c>
      <c r="X237" s="25">
        <f t="shared" si="53"/>
        <v>-0.8560383999999956</v>
      </c>
      <c r="Y237" s="25">
        <f t="shared" si="50"/>
        <v>8.548477821457892</v>
      </c>
      <c r="Z237" s="32">
        <v>0</v>
      </c>
      <c r="AA237" s="25">
        <f t="shared" si="51"/>
        <v>8.548477821457892</v>
      </c>
      <c r="AB237" s="25">
        <f t="shared" si="52"/>
        <v>0.010445819295925283</v>
      </c>
    </row>
    <row r="238" spans="22:28" ht="17.25" thickBot="1" thickTop="1">
      <c r="V238" s="32">
        <f t="shared" si="49"/>
        <v>0.33999999999999997</v>
      </c>
      <c r="W238" s="25">
        <f t="shared" si="48"/>
        <v>-7.0879235774701215</v>
      </c>
      <c r="X238" s="25">
        <f t="shared" si="53"/>
        <v>-0.7133653333333285</v>
      </c>
      <c r="Y238" s="25">
        <f t="shared" si="50"/>
        <v>7.123731517881525</v>
      </c>
      <c r="Z238" s="32">
        <v>0</v>
      </c>
      <c r="AA238" s="25">
        <f t="shared" si="51"/>
        <v>7.123731517881525</v>
      </c>
      <c r="AB238" s="25">
        <f t="shared" si="52"/>
        <v>0.009829892308646318</v>
      </c>
    </row>
    <row r="239" spans="22:28" ht="17.25" thickBot="1" thickTop="1">
      <c r="V239" s="32">
        <f t="shared" si="49"/>
        <v>0.34199999999999997</v>
      </c>
      <c r="W239" s="25">
        <f t="shared" si="48"/>
        <v>-5.670338861976177</v>
      </c>
      <c r="X239" s="25">
        <f t="shared" si="53"/>
        <v>-0.5706922666666969</v>
      </c>
      <c r="Y239" s="25">
        <f t="shared" si="50"/>
        <v>5.698985214305302</v>
      </c>
      <c r="Z239" s="32">
        <v>0</v>
      </c>
      <c r="AA239" s="25">
        <f t="shared" si="51"/>
        <v>5.698985214305302</v>
      </c>
      <c r="AB239" s="25">
        <f t="shared" si="52"/>
        <v>0.009125263675085827</v>
      </c>
    </row>
    <row r="240" spans="22:28" ht="17.25" thickBot="1" thickTop="1">
      <c r="V240" s="32">
        <f t="shared" si="49"/>
        <v>0.344</v>
      </c>
      <c r="W240" s="25">
        <f t="shared" si="48"/>
        <v>-4.252754146482118</v>
      </c>
      <c r="X240" s="25">
        <f t="shared" si="53"/>
        <v>-0.4280192000000227</v>
      </c>
      <c r="Y240" s="25">
        <f t="shared" si="50"/>
        <v>4.274238910728963</v>
      </c>
      <c r="Z240" s="32">
        <v>0</v>
      </c>
      <c r="AA240" s="25">
        <f t="shared" si="51"/>
        <v>4.274238910728963</v>
      </c>
      <c r="AB240" s="25">
        <f t="shared" si="52"/>
        <v>0.008290852269510764</v>
      </c>
    </row>
    <row r="241" spans="22:28" ht="17.25" thickBot="1" thickTop="1">
      <c r="V241" s="32">
        <f t="shared" si="49"/>
        <v>0.346</v>
      </c>
      <c r="W241" s="25">
        <f t="shared" si="48"/>
        <v>-2.83516943098806</v>
      </c>
      <c r="X241" s="25">
        <f t="shared" si="53"/>
        <v>-0.2853461333333627</v>
      </c>
      <c r="Y241" s="25">
        <f t="shared" si="50"/>
        <v>2.8494926071526248</v>
      </c>
      <c r="Z241" s="32">
        <v>0</v>
      </c>
      <c r="AA241" s="25">
        <f t="shared" si="51"/>
        <v>2.8494926071526248</v>
      </c>
      <c r="AB241" s="25">
        <f t="shared" si="52"/>
        <v>0.007242726578659197</v>
      </c>
    </row>
    <row r="242" spans="22:28" ht="17.25" thickBot="1" thickTop="1">
      <c r="V242" s="32">
        <f t="shared" si="49"/>
        <v>0.348</v>
      </c>
      <c r="W242" s="25">
        <f t="shared" si="48"/>
        <v>-1.4175847154940016</v>
      </c>
      <c r="X242" s="25">
        <f t="shared" si="53"/>
        <v>-0.14267306666668844</v>
      </c>
      <c r="Y242" s="25">
        <f t="shared" si="50"/>
        <v>1.4247463035762846</v>
      </c>
      <c r="Z242" s="32">
        <v>0</v>
      </c>
      <c r="AA242" s="25">
        <f t="shared" si="51"/>
        <v>1.4247463035762846</v>
      </c>
      <c r="AB242" s="25">
        <f t="shared" si="52"/>
        <v>0.005748555895040789</v>
      </c>
    </row>
    <row r="243" spans="22:28" ht="16.5" thickTop="1">
      <c r="V243" s="32">
        <f t="shared" si="49"/>
        <v>0.35</v>
      </c>
      <c r="W243" s="25">
        <v>0</v>
      </c>
      <c r="X243" s="25">
        <v>0</v>
      </c>
      <c r="Y243" s="25">
        <f t="shared" si="50"/>
        <v>0</v>
      </c>
      <c r="Z243" s="32">
        <v>0</v>
      </c>
      <c r="AA243" s="25">
        <f t="shared" si="51"/>
        <v>0</v>
      </c>
      <c r="AB243" s="25">
        <f t="shared" si="52"/>
        <v>0</v>
      </c>
    </row>
  </sheetData>
  <printOptions/>
  <pageMargins left="0.75" right="0.75" top="1" bottom="1" header="0.5" footer="0.5"/>
  <pageSetup horizontalDpi="120" verticalDpi="12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I23" sqref="I23"/>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P17" sqref="P17"/>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29" sqref="A29:IV29"/>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Obliczenia</dc:title>
  <dc:subject/>
  <dc:creator>Marek Koczy</dc:creator>
  <cp:keywords/>
  <dc:description/>
  <cp:lastModifiedBy>Marek Koczy</cp:lastModifiedBy>
  <dcterms:modified xsi:type="dcterms:W3CDTF">2002-03-27T20:20:52Z</dcterms:modified>
  <cp:category/>
  <cp:version/>
  <cp:contentType/>
  <cp:contentStatus/>
</cp:coreProperties>
</file>